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U Kft\Pályázatok\ÚSZT2014-2020\Zebegény_egyedi turisztika\3.1 Megvalósíthatósági\"/>
    </mc:Choice>
  </mc:AlternateContent>
  <xr:revisionPtr revIDLastSave="0" documentId="8_{2FAB71F9-1DD6-485C-AA8C-66681E0F0451}" xr6:coauthVersionLast="47" xr6:coauthVersionMax="47" xr10:uidLastSave="{00000000-0000-0000-0000-000000000000}"/>
  <bookViews>
    <workbookView xWindow="75" yWindow="45" windowWidth="28365" windowHeight="20970" xr2:uid="{43B9342C-CB02-4CCD-9552-6A9E5DB2F5E0}"/>
  </bookViews>
  <sheets>
    <sheet name="6.3. A fejlesztés költségei" sheetId="2" r:id="rId1"/>
    <sheet name="6.4. A működés költségei" sheetId="3" r:id="rId2"/>
    <sheet name="6.7. Pénzügyi bevételek becslés" sheetId="4" r:id="rId3"/>
  </sheets>
  <definedNames>
    <definedName name="_Toc22219927" localSheetId="2">'6.7. Pénzügyi bevételek becslés'!$A$1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4" l="1"/>
  <c r="F49" i="4"/>
  <c r="F51" i="4" s="1"/>
  <c r="E14" i="4" s="1"/>
  <c r="F45" i="4"/>
  <c r="F44" i="4"/>
  <c r="F43" i="4"/>
  <c r="F42" i="4"/>
  <c r="F46" i="4" s="1"/>
  <c r="E27" i="4" s="1"/>
  <c r="G34" i="4"/>
  <c r="H34" i="4" s="1"/>
  <c r="I34" i="4" s="1"/>
  <c r="F33" i="4"/>
  <c r="G33" i="4" s="1"/>
  <c r="F24" i="4"/>
  <c r="G24" i="4" s="1"/>
  <c r="E24" i="4"/>
  <c r="H21" i="4"/>
  <c r="I21" i="4" s="1"/>
  <c r="G21" i="4"/>
  <c r="F20" i="4"/>
  <c r="G20" i="4" s="1"/>
  <c r="H20" i="4" s="1"/>
  <c r="I20" i="4" s="1"/>
  <c r="E20" i="4"/>
  <c r="E19" i="4"/>
  <c r="F19" i="4" s="1"/>
  <c r="G19" i="4" s="1"/>
  <c r="H19" i="4" s="1"/>
  <c r="I19" i="4" s="1"/>
  <c r="E18" i="4"/>
  <c r="F18" i="4" s="1"/>
  <c r="G18" i="4" s="1"/>
  <c r="H18" i="4" s="1"/>
  <c r="I18" i="4" s="1"/>
  <c r="F17" i="4"/>
  <c r="G17" i="4" s="1"/>
  <c r="H17" i="4" s="1"/>
  <c r="I17" i="4" s="1"/>
  <c r="E17" i="4"/>
  <c r="I16" i="4"/>
  <c r="H16" i="4"/>
  <c r="G16" i="4"/>
  <c r="F16" i="4"/>
  <c r="E16" i="4"/>
  <c r="I15" i="4"/>
  <c r="H15" i="4"/>
  <c r="G15" i="4"/>
  <c r="F15" i="4"/>
  <c r="C15" i="4"/>
  <c r="E15" i="4" s="1"/>
  <c r="D7" i="4"/>
  <c r="C7" i="4"/>
  <c r="B7" i="4"/>
  <c r="F6" i="4"/>
  <c r="E6" i="4"/>
  <c r="E4" i="4"/>
  <c r="E108" i="3"/>
  <c r="F10" i="3" s="1"/>
  <c r="D100" i="3"/>
  <c r="E100" i="3" s="1"/>
  <c r="F100" i="3" s="1"/>
  <c r="G100" i="3" s="1"/>
  <c r="H100" i="3" s="1"/>
  <c r="I100" i="3" s="1"/>
  <c r="F99" i="3"/>
  <c r="G99" i="3" s="1"/>
  <c r="H99" i="3" s="1"/>
  <c r="I99" i="3" s="1"/>
  <c r="E99" i="3"/>
  <c r="D99" i="3"/>
  <c r="D98" i="3"/>
  <c r="E98" i="3" s="1"/>
  <c r="C93" i="3"/>
  <c r="I92" i="3"/>
  <c r="H92" i="3"/>
  <c r="H108" i="3" s="1"/>
  <c r="I10" i="3" s="1"/>
  <c r="G92" i="3"/>
  <c r="G108" i="3" s="1"/>
  <c r="H10" i="3" s="1"/>
  <c r="F92" i="3"/>
  <c r="E92" i="3"/>
  <c r="C91" i="3"/>
  <c r="C90" i="3"/>
  <c r="C87" i="3" s="1"/>
  <c r="C89" i="3"/>
  <c r="C88" i="3"/>
  <c r="D87" i="3"/>
  <c r="D85" i="3"/>
  <c r="E85" i="3" s="1"/>
  <c r="F85" i="3" s="1"/>
  <c r="G85" i="3" s="1"/>
  <c r="H85" i="3" s="1"/>
  <c r="I85" i="3" s="1"/>
  <c r="C80" i="3"/>
  <c r="I79" i="3"/>
  <c r="I108" i="3" s="1"/>
  <c r="H79" i="3"/>
  <c r="G79" i="3"/>
  <c r="F79" i="3"/>
  <c r="E79" i="3"/>
  <c r="G77" i="3"/>
  <c r="H77" i="3" s="1"/>
  <c r="I77" i="3" s="1"/>
  <c r="F77" i="3"/>
  <c r="E77" i="3"/>
  <c r="D77" i="3"/>
  <c r="C72" i="3"/>
  <c r="I71" i="3"/>
  <c r="H71" i="3"/>
  <c r="G71" i="3"/>
  <c r="F71" i="3"/>
  <c r="F108" i="3" s="1"/>
  <c r="G10" i="3" s="1"/>
  <c r="E71" i="3"/>
  <c r="E69" i="3"/>
  <c r="E109" i="3" s="1"/>
  <c r="F13" i="3" s="1"/>
  <c r="H68" i="3"/>
  <c r="G68" i="3"/>
  <c r="F68" i="3"/>
  <c r="E68" i="3"/>
  <c r="E107" i="3" s="1"/>
  <c r="F11" i="3" s="1"/>
  <c r="E67" i="3"/>
  <c r="D63" i="3"/>
  <c r="F62" i="3"/>
  <c r="G62" i="3" s="1"/>
  <c r="H62" i="3" s="1"/>
  <c r="I62" i="3" s="1"/>
  <c r="D62" i="3"/>
  <c r="E62" i="3" s="1"/>
  <c r="D59" i="3"/>
  <c r="F58" i="3"/>
  <c r="G58" i="3" s="1"/>
  <c r="H58" i="3" s="1"/>
  <c r="I58" i="3" s="1"/>
  <c r="D58" i="3"/>
  <c r="E58" i="3" s="1"/>
  <c r="D57" i="3"/>
  <c r="F57" i="3" s="1"/>
  <c r="G57" i="3" s="1"/>
  <c r="H57" i="3" s="1"/>
  <c r="I57" i="3" s="1"/>
  <c r="F53" i="3"/>
  <c r="G53" i="3" s="1"/>
  <c r="H53" i="3" s="1"/>
  <c r="I53" i="3" s="1"/>
  <c r="E53" i="3"/>
  <c r="E52" i="3"/>
  <c r="F52" i="3" s="1"/>
  <c r="H51" i="3"/>
  <c r="I51" i="3" s="1"/>
  <c r="G51" i="3"/>
  <c r="F51" i="3"/>
  <c r="E51" i="3"/>
  <c r="E50" i="3"/>
  <c r="D49" i="3"/>
  <c r="F49" i="3" s="1"/>
  <c r="G49" i="3" s="1"/>
  <c r="H49" i="3" s="1"/>
  <c r="I49" i="3" s="1"/>
  <c r="G47" i="3"/>
  <c r="H47" i="3" s="1"/>
  <c r="I47" i="3" s="1"/>
  <c r="F47" i="3"/>
  <c r="E47" i="3"/>
  <c r="D47" i="3"/>
  <c r="D48" i="3" s="1"/>
  <c r="F46" i="3"/>
  <c r="G46" i="3" s="1"/>
  <c r="H46" i="3" s="1"/>
  <c r="I46" i="3" s="1"/>
  <c r="E46" i="3"/>
  <c r="D46" i="3"/>
  <c r="D45" i="3"/>
  <c r="E45" i="3" s="1"/>
  <c r="F45" i="3" s="1"/>
  <c r="G45" i="3" s="1"/>
  <c r="H45" i="3" s="1"/>
  <c r="I45" i="3" s="1"/>
  <c r="G43" i="3"/>
  <c r="H43" i="3" s="1"/>
  <c r="I43" i="3" s="1"/>
  <c r="E42" i="3"/>
  <c r="F42" i="3" s="1"/>
  <c r="G42" i="3" s="1"/>
  <c r="H42" i="3" s="1"/>
  <c r="I42" i="3" s="1"/>
  <c r="D42" i="3"/>
  <c r="D43" i="3" s="1"/>
  <c r="E43" i="3" s="1"/>
  <c r="F43" i="3" s="1"/>
  <c r="D41" i="3"/>
  <c r="E41" i="3" s="1"/>
  <c r="F41" i="3" s="1"/>
  <c r="G41" i="3" s="1"/>
  <c r="H41" i="3" s="1"/>
  <c r="I41" i="3" s="1"/>
  <c r="F36" i="3"/>
  <c r="G36" i="3" s="1"/>
  <c r="H36" i="3" s="1"/>
  <c r="I36" i="3" s="1"/>
  <c r="E36" i="3"/>
  <c r="E35" i="3"/>
  <c r="F35" i="3" s="1"/>
  <c r="G35" i="3" s="1"/>
  <c r="H35" i="3" s="1"/>
  <c r="I35" i="3" s="1"/>
  <c r="H34" i="3"/>
  <c r="I34" i="3" s="1"/>
  <c r="E34" i="3"/>
  <c r="F34" i="3" s="1"/>
  <c r="G34" i="3" s="1"/>
  <c r="D32" i="3"/>
  <c r="E32" i="3" s="1"/>
  <c r="F32" i="3" s="1"/>
  <c r="G32" i="3" s="1"/>
  <c r="H32" i="3" s="1"/>
  <c r="I32" i="3" s="1"/>
  <c r="I31" i="3"/>
  <c r="E31" i="3"/>
  <c r="F31" i="3" s="1"/>
  <c r="G31" i="3" s="1"/>
  <c r="H31" i="3" s="1"/>
  <c r="D31" i="3"/>
  <c r="D30" i="3"/>
  <c r="E30" i="3" s="1"/>
  <c r="F30" i="3" s="1"/>
  <c r="G30" i="3" s="1"/>
  <c r="H30" i="3" s="1"/>
  <c r="I30" i="3" s="1"/>
  <c r="E29" i="3"/>
  <c r="D29" i="3"/>
  <c r="N28" i="3"/>
  <c r="O28" i="3" s="1"/>
  <c r="E28" i="3"/>
  <c r="F28" i="3" s="1"/>
  <c r="G28" i="3" s="1"/>
  <c r="H28" i="3" s="1"/>
  <c r="I28" i="3" s="1"/>
  <c r="D28" i="3"/>
  <c r="D50" i="3" s="1"/>
  <c r="F50" i="3" s="1"/>
  <c r="G50" i="3" s="1"/>
  <c r="H50" i="3" s="1"/>
  <c r="I50" i="3" s="1"/>
  <c r="N27" i="3"/>
  <c r="O27" i="3" s="1"/>
  <c r="E27" i="3"/>
  <c r="F27" i="3" s="1"/>
  <c r="G27" i="3" s="1"/>
  <c r="H27" i="3" s="1"/>
  <c r="I27" i="3" s="1"/>
  <c r="D27" i="3"/>
  <c r="D60" i="3" s="1"/>
  <c r="E60" i="3" s="1"/>
  <c r="D26" i="3"/>
  <c r="E26" i="3" s="1"/>
  <c r="F26" i="3" s="1"/>
  <c r="G26" i="3" s="1"/>
  <c r="H26" i="3" s="1"/>
  <c r="I26" i="3" s="1"/>
  <c r="I25" i="3"/>
  <c r="E25" i="3"/>
  <c r="F25" i="3" s="1"/>
  <c r="G25" i="3" s="1"/>
  <c r="H25" i="3" s="1"/>
  <c r="F24" i="3"/>
  <c r="E24" i="3"/>
  <c r="J10" i="3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E8" i="3"/>
  <c r="D8" i="3"/>
  <c r="C8" i="3"/>
  <c r="E3" i="3"/>
  <c r="D3" i="3"/>
  <c r="C3" i="3"/>
  <c r="F21" i="2"/>
  <c r="B20" i="2"/>
  <c r="F19" i="2"/>
  <c r="F18" i="2"/>
  <c r="E17" i="2"/>
  <c r="D17" i="2"/>
  <c r="C17" i="2"/>
  <c r="B17" i="2"/>
  <c r="F17" i="2" s="1"/>
  <c r="F16" i="2"/>
  <c r="F15" i="2"/>
  <c r="F14" i="2"/>
  <c r="E13" i="2"/>
  <c r="F13" i="2" s="1"/>
  <c r="E12" i="2"/>
  <c r="F12" i="2" s="1"/>
  <c r="E11" i="2"/>
  <c r="D11" i="2"/>
  <c r="C11" i="2"/>
  <c r="B11" i="2"/>
  <c r="F11" i="2" s="1"/>
  <c r="F10" i="2"/>
  <c r="F9" i="2"/>
  <c r="F8" i="2"/>
  <c r="E7" i="2"/>
  <c r="D7" i="2"/>
  <c r="C7" i="2"/>
  <c r="B7" i="2"/>
  <c r="F7" i="2" s="1"/>
  <c r="F6" i="2"/>
  <c r="B6" i="2"/>
  <c r="F5" i="2"/>
  <c r="F4" i="2"/>
  <c r="F3" i="2"/>
  <c r="E2" i="2"/>
  <c r="E20" i="2" s="1"/>
  <c r="E22" i="2" s="1"/>
  <c r="D2" i="2"/>
  <c r="D20" i="2" s="1"/>
  <c r="D22" i="2" s="1"/>
  <c r="C2" i="2"/>
  <c r="C20" i="2" s="1"/>
  <c r="C22" i="2" s="1"/>
  <c r="B2" i="2"/>
  <c r="F2" i="2" s="1"/>
  <c r="F27" i="4" l="1"/>
  <c r="E5" i="4"/>
  <c r="E3" i="4"/>
  <c r="E37" i="4"/>
  <c r="F14" i="4"/>
  <c r="H33" i="4"/>
  <c r="G6" i="4"/>
  <c r="H24" i="4"/>
  <c r="G4" i="4"/>
  <c r="F4" i="4"/>
  <c r="F29" i="3"/>
  <c r="E59" i="3"/>
  <c r="F59" i="3"/>
  <c r="G59" i="3" s="1"/>
  <c r="H59" i="3" s="1"/>
  <c r="I59" i="3" s="1"/>
  <c r="F107" i="3"/>
  <c r="G11" i="3" s="1"/>
  <c r="G52" i="3"/>
  <c r="H52" i="3" s="1"/>
  <c r="I52" i="3" s="1"/>
  <c r="E87" i="3"/>
  <c r="E101" i="3"/>
  <c r="E110" i="3" s="1"/>
  <c r="F7" i="3" s="1"/>
  <c r="F98" i="3"/>
  <c r="E106" i="3"/>
  <c r="F9" i="3" s="1"/>
  <c r="F67" i="3"/>
  <c r="F60" i="3"/>
  <c r="G60" i="3" s="1"/>
  <c r="H60" i="3" s="1"/>
  <c r="I60" i="3" s="1"/>
  <c r="E37" i="3"/>
  <c r="G107" i="3"/>
  <c r="H11" i="3" s="1"/>
  <c r="U10" i="3"/>
  <c r="F37" i="3"/>
  <c r="G24" i="3"/>
  <c r="H107" i="3"/>
  <c r="I11" i="3" s="1"/>
  <c r="I68" i="3"/>
  <c r="D64" i="3"/>
  <c r="F63" i="3"/>
  <c r="G63" i="3" s="1"/>
  <c r="H63" i="3" s="1"/>
  <c r="I63" i="3" s="1"/>
  <c r="E63" i="3"/>
  <c r="F12" i="3"/>
  <c r="F48" i="3"/>
  <c r="G48" i="3" s="1"/>
  <c r="H48" i="3" s="1"/>
  <c r="I48" i="3" s="1"/>
  <c r="E48" i="3"/>
  <c r="B10" i="3"/>
  <c r="E49" i="3"/>
  <c r="D66" i="3"/>
  <c r="D44" i="3"/>
  <c r="E44" i="3" s="1"/>
  <c r="F44" i="3" s="1"/>
  <c r="G44" i="3" s="1"/>
  <c r="H44" i="3" s="1"/>
  <c r="I44" i="3" s="1"/>
  <c r="F69" i="3"/>
  <c r="D61" i="3"/>
  <c r="D65" i="3"/>
  <c r="E57" i="3"/>
  <c r="D33" i="3"/>
  <c r="E33" i="3" s="1"/>
  <c r="F33" i="3" s="1"/>
  <c r="G33" i="3" s="1"/>
  <c r="H33" i="3" s="1"/>
  <c r="I33" i="3" s="1"/>
  <c r="F20" i="2"/>
  <c r="B22" i="2"/>
  <c r="F22" i="2" s="1"/>
  <c r="I33" i="4" l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H6" i="4"/>
  <c r="T6" i="4" s="1"/>
  <c r="G14" i="4"/>
  <c r="F37" i="4"/>
  <c r="F3" i="4"/>
  <c r="E7" i="4"/>
  <c r="I24" i="4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H4" i="4"/>
  <c r="G27" i="4"/>
  <c r="F5" i="4"/>
  <c r="E103" i="3"/>
  <c r="F87" i="3"/>
  <c r="F65" i="3"/>
  <c r="G65" i="3" s="1"/>
  <c r="H65" i="3" s="1"/>
  <c r="I65" i="3" s="1"/>
  <c r="E65" i="3"/>
  <c r="E104" i="3" s="1"/>
  <c r="F5" i="3" s="1"/>
  <c r="E64" i="3"/>
  <c r="F64" i="3"/>
  <c r="G64" i="3" s="1"/>
  <c r="H64" i="3" s="1"/>
  <c r="I64" i="3" s="1"/>
  <c r="F61" i="3"/>
  <c r="G61" i="3" s="1"/>
  <c r="H61" i="3" s="1"/>
  <c r="I61" i="3" s="1"/>
  <c r="E61" i="3"/>
  <c r="F109" i="3"/>
  <c r="G13" i="3" s="1"/>
  <c r="G69" i="3"/>
  <c r="I107" i="3"/>
  <c r="J11" i="3" s="1"/>
  <c r="K11" i="3" s="1"/>
  <c r="L11" i="3" s="1"/>
  <c r="M11" i="3" s="1"/>
  <c r="N11" i="3" s="1"/>
  <c r="O11" i="3" s="1"/>
  <c r="P11" i="3" s="1"/>
  <c r="Q11" i="3" s="1"/>
  <c r="R11" i="3" s="1"/>
  <c r="S11" i="3" s="1"/>
  <c r="T11" i="3" s="1"/>
  <c r="F106" i="3"/>
  <c r="G9" i="3" s="1"/>
  <c r="G67" i="3"/>
  <c r="G37" i="3"/>
  <c r="H24" i="3"/>
  <c r="F8" i="3"/>
  <c r="F66" i="3"/>
  <c r="E66" i="3"/>
  <c r="E105" i="3" s="1"/>
  <c r="F6" i="3" s="1"/>
  <c r="F101" i="3"/>
  <c r="F110" i="3" s="1"/>
  <c r="G7" i="3" s="1"/>
  <c r="G98" i="3"/>
  <c r="G29" i="3"/>
  <c r="F7" i="4" l="1"/>
  <c r="H27" i="4"/>
  <c r="G5" i="4"/>
  <c r="H14" i="4"/>
  <c r="G37" i="4"/>
  <c r="G3" i="4"/>
  <c r="T4" i="4"/>
  <c r="E112" i="3"/>
  <c r="F4" i="3"/>
  <c r="G101" i="3"/>
  <c r="G110" i="3" s="1"/>
  <c r="H7" i="3" s="1"/>
  <c r="H98" i="3"/>
  <c r="G66" i="3"/>
  <c r="F105" i="3"/>
  <c r="G6" i="3" s="1"/>
  <c r="G109" i="3"/>
  <c r="H13" i="3" s="1"/>
  <c r="H12" i="3" s="1"/>
  <c r="H69" i="3"/>
  <c r="F104" i="3"/>
  <c r="G5" i="3" s="1"/>
  <c r="G87" i="3"/>
  <c r="G12" i="3"/>
  <c r="H29" i="3"/>
  <c r="G103" i="3"/>
  <c r="H37" i="3"/>
  <c r="I24" i="3"/>
  <c r="I37" i="3" s="1"/>
  <c r="H67" i="3"/>
  <c r="G106" i="3"/>
  <c r="H9" i="3" s="1"/>
  <c r="H8" i="3" s="1"/>
  <c r="G8" i="3"/>
  <c r="F103" i="3"/>
  <c r="U11" i="3"/>
  <c r="G7" i="4" l="1"/>
  <c r="I14" i="4"/>
  <c r="H3" i="4"/>
  <c r="H37" i="4"/>
  <c r="I27" i="4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H5" i="4"/>
  <c r="T5" i="4" s="1"/>
  <c r="G4" i="3"/>
  <c r="G3" i="3" s="1"/>
  <c r="G14" i="3" s="1"/>
  <c r="F112" i="3"/>
  <c r="H101" i="3"/>
  <c r="H110" i="3" s="1"/>
  <c r="I7" i="3" s="1"/>
  <c r="U7" i="3" s="1"/>
  <c r="I98" i="3"/>
  <c r="I101" i="3" s="1"/>
  <c r="I110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I67" i="3"/>
  <c r="I106" i="3" s="1"/>
  <c r="J9" i="3" s="1"/>
  <c r="H106" i="3"/>
  <c r="I9" i="3" s="1"/>
  <c r="H66" i="3"/>
  <c r="G105" i="3"/>
  <c r="H6" i="3" s="1"/>
  <c r="H4" i="3"/>
  <c r="H3" i="3" s="1"/>
  <c r="H14" i="3" s="1"/>
  <c r="G112" i="3"/>
  <c r="I29" i="3"/>
  <c r="I103" i="3" s="1"/>
  <c r="H103" i="3"/>
  <c r="G104" i="3"/>
  <c r="H5" i="3" s="1"/>
  <c r="H87" i="3"/>
  <c r="F3" i="3"/>
  <c r="I69" i="3"/>
  <c r="I109" i="3" s="1"/>
  <c r="J13" i="3" s="1"/>
  <c r="H109" i="3"/>
  <c r="I13" i="3" s="1"/>
  <c r="I12" i="3" s="1"/>
  <c r="H7" i="4" l="1"/>
  <c r="I37" i="4"/>
  <c r="I3" i="4"/>
  <c r="I4" i="3"/>
  <c r="I66" i="3"/>
  <c r="I105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B6" i="3" s="1"/>
  <c r="H105" i="3"/>
  <c r="I6" i="3" s="1"/>
  <c r="U6" i="3" s="1"/>
  <c r="J8" i="3"/>
  <c r="K9" i="3"/>
  <c r="H104" i="3"/>
  <c r="I5" i="3" s="1"/>
  <c r="B5" i="3" s="1"/>
  <c r="I87" i="3"/>
  <c r="I104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J4" i="3"/>
  <c r="I112" i="3"/>
  <c r="F14" i="3"/>
  <c r="B7" i="3"/>
  <c r="J12" i="3"/>
  <c r="K13" i="3"/>
  <c r="I8" i="3"/>
  <c r="I7" i="4" l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J3" i="4"/>
  <c r="L13" i="3"/>
  <c r="K12" i="3"/>
  <c r="H112" i="3"/>
  <c r="K8" i="3"/>
  <c r="L9" i="3"/>
  <c r="U5" i="3"/>
  <c r="J3" i="3"/>
  <c r="J14" i="3" s="1"/>
  <c r="K4" i="3"/>
  <c r="I3" i="3"/>
  <c r="K3" i="4" l="1"/>
  <c r="L3" i="4" s="1"/>
  <c r="M3" i="4" s="1"/>
  <c r="N3" i="4" s="1"/>
  <c r="O3" i="4" s="1"/>
  <c r="P3" i="4" s="1"/>
  <c r="Q3" i="4" s="1"/>
  <c r="R3" i="4" s="1"/>
  <c r="S3" i="4" s="1"/>
  <c r="M9" i="3"/>
  <c r="L8" i="3"/>
  <c r="I14" i="3"/>
  <c r="K3" i="3"/>
  <c r="K14" i="3" s="1"/>
  <c r="L4" i="3"/>
  <c r="M13" i="3"/>
  <c r="L12" i="3"/>
  <c r="T3" i="4" l="1"/>
  <c r="N13" i="3"/>
  <c r="M12" i="3"/>
  <c r="N9" i="3"/>
  <c r="M8" i="3"/>
  <c r="M4" i="3"/>
  <c r="L3" i="3"/>
  <c r="O9" i="3" l="1"/>
  <c r="N8" i="3"/>
  <c r="L14" i="3"/>
  <c r="O13" i="3"/>
  <c r="N12" i="3"/>
  <c r="M3" i="3"/>
  <c r="M14" i="3" s="1"/>
  <c r="N4" i="3"/>
  <c r="O4" i="3" l="1"/>
  <c r="N3" i="3"/>
  <c r="N14" i="3" s="1"/>
  <c r="O12" i="3"/>
  <c r="P13" i="3"/>
  <c r="P9" i="3"/>
  <c r="O8" i="3"/>
  <c r="P12" i="3" l="1"/>
  <c r="Q13" i="3"/>
  <c r="P4" i="3"/>
  <c r="O3" i="3"/>
  <c r="O14" i="3" s="1"/>
  <c r="Q9" i="3"/>
  <c r="P8" i="3"/>
  <c r="Q4" i="3" l="1"/>
  <c r="P3" i="3"/>
  <c r="P14" i="3" s="1"/>
  <c r="R9" i="3"/>
  <c r="Q8" i="3"/>
  <c r="R13" i="3"/>
  <c r="Q12" i="3"/>
  <c r="R12" i="3" l="1"/>
  <c r="S13" i="3"/>
  <c r="R8" i="3"/>
  <c r="S9" i="3"/>
  <c r="R4" i="3"/>
  <c r="Q3" i="3"/>
  <c r="Q14" i="3" s="1"/>
  <c r="S8" i="3" l="1"/>
  <c r="T9" i="3"/>
  <c r="R3" i="3"/>
  <c r="R14" i="3" s="1"/>
  <c r="S4" i="3"/>
  <c r="T13" i="3"/>
  <c r="S12" i="3"/>
  <c r="S3" i="3" l="1"/>
  <c r="S14" i="3" s="1"/>
  <c r="T4" i="3"/>
  <c r="T12" i="3"/>
  <c r="U13" i="3"/>
  <c r="B13" i="3"/>
  <c r="T8" i="3"/>
  <c r="B9" i="3"/>
  <c r="U9" i="3"/>
  <c r="U8" i="3" l="1"/>
  <c r="B8" i="3"/>
  <c r="U12" i="3"/>
  <c r="B12" i="3"/>
  <c r="T3" i="3"/>
  <c r="B4" i="3"/>
  <c r="U4" i="3"/>
  <c r="T14" i="3" l="1"/>
  <c r="U3" i="3"/>
  <c r="B3" i="3"/>
  <c r="U14" i="3" l="1"/>
  <c r="B14" i="3"/>
</calcChain>
</file>

<file path=xl/sharedStrings.xml><?xml version="1.0" encoding="utf-8"?>
<sst xmlns="http://schemas.openxmlformats.org/spreadsheetml/2006/main" count="372" uniqueCount="192">
  <si>
    <t>A fejlesztés költségei</t>
  </si>
  <si>
    <t>Előkészítési költség felmerülésének 1. éve (2021)</t>
  </si>
  <si>
    <t>Előkészítési  költség felmerülésének 2. éve (2022)</t>
  </si>
  <si>
    <t>Előkészítési  költség felmerülésének 3., utolsó éve (2023)</t>
  </si>
  <si>
    <t>Beruházási költség felmerülésének  évei</t>
  </si>
  <si>
    <t>Összes költség</t>
  </si>
  <si>
    <t>1.     Előkészítés összesen</t>
  </si>
  <si>
    <t>1.1. Megvalósíthatósági tanulmány készítése</t>
  </si>
  <si>
    <t xml:space="preserve">1.2. Egyéb szükséges tanulmányok, szakvélemények </t>
  </si>
  <si>
    <t>1.3. Műszaki tervek</t>
  </si>
  <si>
    <t>1.4. Közbeszerzés</t>
  </si>
  <si>
    <t>2.     Beruházások</t>
  </si>
  <si>
    <t>2.1. Ingatlanvásárlás</t>
  </si>
  <si>
    <t>2.2. Építés-felújítás</t>
  </si>
  <si>
    <t>2.3. Eszközbeszerzés</t>
  </si>
  <si>
    <t>3.     Szolgáltatások összesen</t>
  </si>
  <si>
    <t>3.1. Műszaki ellenőr</t>
  </si>
  <si>
    <t>3.2. Projektmenedzsment</t>
  </si>
  <si>
    <t>3.3. Marketing és kötelező nyilvánosság</t>
  </si>
  <si>
    <t xml:space="preserve">3.4. Jogi szolgáltatás </t>
  </si>
  <si>
    <t>3.5. Egyéb szolgáltatás</t>
  </si>
  <si>
    <t>4. Személyi jellegű kifizetések</t>
  </si>
  <si>
    <t>4.1. Projektmenedzsment (bérköltség+bérjárulék)</t>
  </si>
  <si>
    <t>4.2. Egyéb</t>
  </si>
  <si>
    <t>5.  Összes elszámolható költség</t>
  </si>
  <si>
    <t>6. Nem elszámolható költségek</t>
  </si>
  <si>
    <t>7. Projekt összes költsége</t>
  </si>
  <si>
    <r>
      <t>Fontos:</t>
    </r>
    <r>
      <rPr>
        <i/>
        <sz val="11"/>
        <color theme="1"/>
        <rFont val="Arial"/>
        <family val="2"/>
        <charset val="238"/>
      </rPr>
      <t xml:space="preserve"> az itt bemutatott táblázatnak összhangban kell lennie a 4.4. pontban szereplő táblázattal. Szintén fontos, hogy a nem elszámolható költségeket csak ebben a fejezetben kell a fejlesztés költségei között szerepeltetni, a további fejezetekben csak az elszámolható költségek szerepeljenek! A táblázat fejlécében szereplő évek felülírandóak konkrét évszámokra (pl. 2021).</t>
    </r>
  </si>
  <si>
    <t>Működési költségek</t>
  </si>
  <si>
    <t>Nettó jelenérték</t>
  </si>
  <si>
    <t>Beruházási költség 1. éve (2022)</t>
  </si>
  <si>
    <t>Beruházási költség 2. éve (2023)</t>
  </si>
  <si>
    <t>Beruházási költség 3., utolsó éve (2024)</t>
  </si>
  <si>
    <t>Referencia időszak
2025</t>
  </si>
  <si>
    <t>Referencia időszak
2026</t>
  </si>
  <si>
    <t>Referencia időszak
2027</t>
  </si>
  <si>
    <t>Referencia időszak
2028</t>
  </si>
  <si>
    <t>Referencia időszak
2029</t>
  </si>
  <si>
    <t>Referencia időszak
2030</t>
  </si>
  <si>
    <t>Referencia időszak
2031</t>
  </si>
  <si>
    <t>Referencia időszak
2032</t>
  </si>
  <si>
    <t>Referencia időszak
2033</t>
  </si>
  <si>
    <t>Referencia időszak
2034</t>
  </si>
  <si>
    <t>Referencia időszak
2035</t>
  </si>
  <si>
    <t>Referencia időszak
2036</t>
  </si>
  <si>
    <t>Referencia időszak
2037</t>
  </si>
  <si>
    <t>Referencia időszak
2038</t>
  </si>
  <si>
    <t>Referencia időszak utolsó éve (15. év)</t>
  </si>
  <si>
    <t xml:space="preserve">Összes költség </t>
  </si>
  <si>
    <t>1. éve</t>
  </si>
  <si>
    <t>2. éve</t>
  </si>
  <si>
    <t>3. éve</t>
  </si>
  <si>
    <t>4. éve</t>
  </si>
  <si>
    <t>5. éve</t>
  </si>
  <si>
    <t>6. éve</t>
  </si>
  <si>
    <t>7. éve</t>
  </si>
  <si>
    <t>8. éve</t>
  </si>
  <si>
    <t>9. éve</t>
  </si>
  <si>
    <t>10. éve</t>
  </si>
  <si>
    <t>11. éve</t>
  </si>
  <si>
    <t>12. éve</t>
  </si>
  <si>
    <t>13. éve</t>
  </si>
  <si>
    <t>14. éve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</si>
  <si>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Üzemeltetési költségek összesen</t>
    </r>
  </si>
  <si>
    <r>
      <t>1.1.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áramdíj szumma</t>
    </r>
  </si>
  <si>
    <r>
      <t>1.2.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vízdíj szumma</t>
    </r>
  </si>
  <si>
    <t>1.3. csatornadíj szumma</t>
  </si>
  <si>
    <t>1.4. bérköltség</t>
  </si>
  <si>
    <r>
      <t>2.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Karbantartási költségek összesen</t>
    </r>
  </si>
  <si>
    <r>
      <t>2.1.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épületek karbantartása</t>
    </r>
  </si>
  <si>
    <r>
      <t>2.2.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zöldterületek fenntartása</t>
    </r>
  </si>
  <si>
    <t>2.3. takarítás</t>
  </si>
  <si>
    <r>
      <t>3.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Pótlási költségek összesen</t>
    </r>
  </si>
  <si>
    <r>
      <t>3.1.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Arial"/>
        <family val="2"/>
        <charset val="238"/>
      </rPr>
      <t>……</t>
    </r>
  </si>
  <si>
    <r>
      <t>4.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Összes működési költség</t>
    </r>
  </si>
  <si>
    <t>Parkfenntartás címszó alatt értendő:</t>
  </si>
  <si>
    <t xml:space="preserve">   - szemetesek ürítése</t>
  </si>
  <si>
    <t xml:space="preserve">   - karbantartás (fa- és fémszerkezetek (padok, korlátok és táblák) évenkénti felülvizsgálata szemrevételezéssel, ha szükséges a sérülések javítása)</t>
  </si>
  <si>
    <t xml:space="preserve">   - növénypótlás</t>
  </si>
  <si>
    <t xml:space="preserve">A pótlás fogalmába az eszközök cseréje tartozik. </t>
  </si>
  <si>
    <t>Látogatóközpont:</t>
  </si>
  <si>
    <t>Mennyiségi egység</t>
  </si>
  <si>
    <t>Mennyiség</t>
  </si>
  <si>
    <t>Egységár</t>
  </si>
  <si>
    <t>Összesen1</t>
  </si>
  <si>
    <t>Összesen2</t>
  </si>
  <si>
    <t>Összesen3</t>
  </si>
  <si>
    <t>Összesen4</t>
  </si>
  <si>
    <t>Összesen5</t>
  </si>
  <si>
    <t>Hőszivattyús áram - teljes</t>
  </si>
  <si>
    <t>kWh/év</t>
  </si>
  <si>
    <t>kWh</t>
  </si>
  <si>
    <t>átviteli díj</t>
  </si>
  <si>
    <t>elosztói forg.</t>
  </si>
  <si>
    <t>Világítás és gépészet - teljes</t>
  </si>
  <si>
    <t>Egyéb áramfogyasztás - teljes</t>
  </si>
  <si>
    <t>Vízfogyasztás - teljes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</si>
  <si>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/év</t>
    </r>
  </si>
  <si>
    <t>Szennyvíz kibocsátás - teljes</t>
  </si>
  <si>
    <t>Hőszivattyús áram - részleges</t>
  </si>
  <si>
    <t>Világítás és gépészet - részleges</t>
  </si>
  <si>
    <t>Egyéb áramfogyasztás - részleges</t>
  </si>
  <si>
    <t>Vízfogyasztás - részleges</t>
  </si>
  <si>
    <t>Szennyvíz kibocsátás - részleges</t>
  </si>
  <si>
    <t>Éves épületkarbantartás</t>
  </si>
  <si>
    <t>db/év</t>
  </si>
  <si>
    <t>Takarítás (kéthetente 1x, 50e Ft/alkalom)</t>
  </si>
  <si>
    <t>Pótlás</t>
  </si>
  <si>
    <t>összeg</t>
  </si>
  <si>
    <t>Koperniczky ház:</t>
  </si>
  <si>
    <t>Takarítás (kéthetente 1x, 30e Ft/alkalom)</t>
  </si>
  <si>
    <t>Szolgáltató ház:</t>
  </si>
  <si>
    <t>Takarítás (havonta 1x, 30e Ft/alkalom), közös helyiségek)</t>
  </si>
  <si>
    <t>Parkfenntartás (Látogatóközpont, Koperniczky ház, Szolgáltatóház, PH)</t>
  </si>
  <si>
    <t xml:space="preserve">   - szemetesek ürítése (önk.)</t>
  </si>
  <si>
    <t>db</t>
  </si>
  <si>
    <t xml:space="preserve">   - karbantartás</t>
  </si>
  <si>
    <t>db/3 év</t>
  </si>
  <si>
    <t xml:space="preserve">   - kertészeti munkák</t>
  </si>
  <si>
    <t>Hősök emlékműve</t>
  </si>
  <si>
    <t>Szerpentin világítás</t>
  </si>
  <si>
    <t>Útburkolat karbantartás, szerpentin (önk. eszközeivel, embereivel)</t>
  </si>
  <si>
    <t>Parkfenntartás</t>
  </si>
  <si>
    <t xml:space="preserve">   - karbantartás (önk. csak anyagköltség, 3. évtől)</t>
  </si>
  <si>
    <t>Petőfi (Fő-) tér</t>
  </si>
  <si>
    <t xml:space="preserve">Áramfogyasztás - 3 db kandelláber </t>
  </si>
  <si>
    <t>Útburkolat karbantartás (önk. eszközeivel, embereivel)</t>
  </si>
  <si>
    <t>Vízfogyasztás (vízkonnektorok, kutak stb.)</t>
  </si>
  <si>
    <t xml:space="preserve">   - Szőnyi I. Ált. Iskola előtti parkban kút</t>
  </si>
  <si>
    <t xml:space="preserve">   - Millenniumi parkban lévő kék nyomós kút</t>
  </si>
  <si>
    <t xml:space="preserve">   - Élelmiszerbolt előtti tér - Kacsás-kút</t>
  </si>
  <si>
    <t xml:space="preserve">   - PH előtti parkban kék nyomós kút</t>
  </si>
  <si>
    <t>Parkfenntartás (+patakpart)</t>
  </si>
  <si>
    <t>Személyi jellegű költségek:</t>
  </si>
  <si>
    <t>Turisztikai menedzser/irodavezető</t>
  </si>
  <si>
    <t>havi bér járulékkal</t>
  </si>
  <si>
    <t>Turisztikai szakasszisztens</t>
  </si>
  <si>
    <t>Rendezvényszervező</t>
  </si>
  <si>
    <t>Szumma:</t>
  </si>
  <si>
    <t>Áramdíj szumma</t>
  </si>
  <si>
    <t>Vízdíj szumma</t>
  </si>
  <si>
    <t>Szennyvízdíj szumma</t>
  </si>
  <si>
    <t>Karbantartás szumma</t>
  </si>
  <si>
    <t>Takarítás szumma</t>
  </si>
  <si>
    <t>Parkfenntartás szumma</t>
  </si>
  <si>
    <t>Pótlás szumma</t>
  </si>
  <si>
    <t>Személyi jellegű költségek szumma</t>
  </si>
  <si>
    <t>Összesen:</t>
  </si>
  <si>
    <t>Bevételek alakulása</t>
  </si>
  <si>
    <t>Beruházási költség 1. éve (2024)</t>
  </si>
  <si>
    <t>Beruházási költség 2. éve (2025)</t>
  </si>
  <si>
    <t>Beruházási költség 3., utolsó éve (2026)</t>
  </si>
  <si>
    <t>Referencia időszak utolsó éve 
15. év</t>
  </si>
  <si>
    <t xml:space="preserve">Összes bevétel </t>
  </si>
  <si>
    <t>Látogatóközpont bevételek</t>
  </si>
  <si>
    <t>Szolgáltatóház bevételek</t>
  </si>
  <si>
    <t>Koperniczky ház bevételek</t>
  </si>
  <si>
    <t>Turisztikai egyéb bevételek</t>
  </si>
  <si>
    <t>Összes bevétel</t>
  </si>
  <si>
    <t>A költségek nettó alapúak</t>
  </si>
  <si>
    <t>Szálláshely értékesítés</t>
  </si>
  <si>
    <t>Kiállítás belépők</t>
  </si>
  <si>
    <t>Rendezvényekből folyó bevételek</t>
  </si>
  <si>
    <t>3+10</t>
  </si>
  <si>
    <t>500.000+100.000</t>
  </si>
  <si>
    <t>Helyiségbérlet</t>
  </si>
  <si>
    <t>Ajándéktárgy értékesítés</t>
  </si>
  <si>
    <t>Bérleti díj kávézó</t>
  </si>
  <si>
    <t>hónap</t>
  </si>
  <si>
    <t>Bérleti díj gasztropince</t>
  </si>
  <si>
    <t>Büfé jellegű termékek értékesítése</t>
  </si>
  <si>
    <t>Szolgáltatóház:</t>
  </si>
  <si>
    <t>Bérleti díjak</t>
  </si>
  <si>
    <t>Szálláshez értékesítés (Rozmaring Ap.)</t>
  </si>
  <si>
    <t xml:space="preserve">2 szoba </t>
  </si>
  <si>
    <t>Petőfi tér:</t>
  </si>
  <si>
    <t>Hősök emlékműve:</t>
  </si>
  <si>
    <t>Turisztikai programcsomag</t>
  </si>
  <si>
    <t>Marketing tevékenységből származó bevételek</t>
  </si>
  <si>
    <t>Bevételek összesen:</t>
  </si>
  <si>
    <t>Árazás - Koperniczky ház:</t>
  </si>
  <si>
    <t xml:space="preserve">Szobaár: </t>
  </si>
  <si>
    <t>fő/éj</t>
  </si>
  <si>
    <t>szoba/éj</t>
  </si>
  <si>
    <t>Új szobák:</t>
  </si>
  <si>
    <t>Apartman (1 db)</t>
  </si>
  <si>
    <t>10 fős hálóterem</t>
  </si>
  <si>
    <t>szumma</t>
  </si>
  <si>
    <t>Árazás - Látogatóközpont:</t>
  </si>
  <si>
    <t>2 db 6 fős hálóterem</t>
  </si>
  <si>
    <t>1 db 2 fős akadálymentes szoba*</t>
  </si>
  <si>
    <t>*kedvezményes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</si>
</sst>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0\ &quot;Ft&quot;;[Red]\-#,##0.00\ &quot;Ft&quot;"/>
    <numFmt numFmtId="166" formatCode="0.0000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color rgb="FF202122"/>
      <name val="Arial"/>
      <family val="2"/>
      <charset val="238"/>
    </font>
    <font>
      <i/>
      <sz val="8"/>
      <color rgb="FF202122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3" fontId="4" fillId="0" borderId="4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8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 indent="2"/>
    </xf>
    <xf numFmtId="164" fontId="4" fillId="0" borderId="4" xfId="1" applyNumberFormat="1" applyFont="1" applyFill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5"/>
    </xf>
    <xf numFmtId="3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2" fillId="3" borderId="0" xfId="0" applyFont="1" applyFill="1"/>
    <xf numFmtId="0" fontId="13" fillId="0" borderId="7" xfId="0" applyFont="1" applyBorder="1"/>
    <xf numFmtId="0" fontId="13" fillId="0" borderId="8" xfId="0" applyFont="1" applyBorder="1" applyAlignment="1">
      <alignment horizontal="center"/>
    </xf>
    <xf numFmtId="3" fontId="0" fillId="0" borderId="8" xfId="0" applyNumberFormat="1" applyBorder="1"/>
    <xf numFmtId="2" fontId="0" fillId="4" borderId="8" xfId="0" applyNumberFormat="1" applyFill="1" applyBorder="1"/>
    <xf numFmtId="3" fontId="0" fillId="0" borderId="6" xfId="0" applyNumberFormat="1" applyBorder="1"/>
    <xf numFmtId="0" fontId="13" fillId="0" borderId="9" xfId="0" applyFont="1" applyBorder="1"/>
    <xf numFmtId="0" fontId="13" fillId="0" borderId="0" xfId="0" applyFont="1" applyAlignment="1">
      <alignment horizontal="center"/>
    </xf>
    <xf numFmtId="3" fontId="0" fillId="0" borderId="0" xfId="0" applyNumberFormat="1"/>
    <xf numFmtId="2" fontId="0" fillId="4" borderId="0" xfId="0" applyNumberFormat="1" applyFill="1"/>
    <xf numFmtId="3" fontId="0" fillId="0" borderId="10" xfId="0" applyNumberFormat="1" applyBorder="1"/>
    <xf numFmtId="2" fontId="0" fillId="0" borderId="0" xfId="0" applyNumberFormat="1"/>
    <xf numFmtId="4" fontId="0" fillId="0" borderId="0" xfId="0" applyNumberFormat="1"/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3" fontId="0" fillId="0" borderId="12" xfId="0" applyNumberFormat="1" applyBorder="1"/>
    <xf numFmtId="2" fontId="0" fillId="4" borderId="12" xfId="0" applyNumberFormat="1" applyFill="1" applyBorder="1"/>
    <xf numFmtId="3" fontId="0" fillId="0" borderId="4" xfId="0" applyNumberFormat="1" applyBorder="1"/>
    <xf numFmtId="0" fontId="13" fillId="5" borderId="7" xfId="0" applyFont="1" applyFill="1" applyBorder="1"/>
    <xf numFmtId="0" fontId="13" fillId="5" borderId="8" xfId="0" applyFont="1" applyFill="1" applyBorder="1" applyAlignment="1">
      <alignment horizontal="center"/>
    </xf>
    <xf numFmtId="3" fontId="0" fillId="5" borderId="8" xfId="0" applyNumberFormat="1" applyFill="1" applyBorder="1"/>
    <xf numFmtId="2" fontId="0" fillId="5" borderId="8" xfId="0" applyNumberFormat="1" applyFill="1" applyBorder="1"/>
    <xf numFmtId="3" fontId="0" fillId="5" borderId="0" xfId="0" applyNumberFormat="1" applyFill="1"/>
    <xf numFmtId="3" fontId="0" fillId="5" borderId="6" xfId="0" applyNumberFormat="1" applyFill="1" applyBorder="1"/>
    <xf numFmtId="0" fontId="13" fillId="5" borderId="9" xfId="0" applyFont="1" applyFill="1" applyBorder="1"/>
    <xf numFmtId="0" fontId="13" fillId="5" borderId="0" xfId="0" applyFont="1" applyFill="1" applyAlignment="1">
      <alignment horizontal="center"/>
    </xf>
    <xf numFmtId="2" fontId="0" fillId="5" borderId="0" xfId="0" applyNumberFormat="1" applyFill="1"/>
    <xf numFmtId="3" fontId="0" fillId="5" borderId="10" xfId="0" applyNumberFormat="1" applyFill="1" applyBorder="1"/>
    <xf numFmtId="3" fontId="0" fillId="6" borderId="0" xfId="0" applyNumberFormat="1" applyFill="1"/>
    <xf numFmtId="2" fontId="0" fillId="6" borderId="0" xfId="0" applyNumberFormat="1" applyFill="1"/>
    <xf numFmtId="0" fontId="13" fillId="5" borderId="11" xfId="0" applyFont="1" applyFill="1" applyBorder="1"/>
    <xf numFmtId="0" fontId="13" fillId="5" borderId="12" xfId="0" applyFont="1" applyFill="1" applyBorder="1" applyAlignment="1">
      <alignment horizontal="center"/>
    </xf>
    <xf numFmtId="3" fontId="0" fillId="7" borderId="12" xfId="0" applyNumberFormat="1" applyFill="1" applyBorder="1"/>
    <xf numFmtId="2" fontId="0" fillId="7" borderId="12" xfId="0" applyNumberFormat="1" applyFill="1" applyBorder="1"/>
    <xf numFmtId="3" fontId="0" fillId="5" borderId="12" xfId="0" applyNumberFormat="1" applyFill="1" applyBorder="1"/>
    <xf numFmtId="3" fontId="0" fillId="5" borderId="4" xfId="0" applyNumberFormat="1" applyFill="1" applyBorder="1"/>
    <xf numFmtId="0" fontId="13" fillId="8" borderId="0" xfId="0" applyFont="1" applyFill="1"/>
    <xf numFmtId="0" fontId="13" fillId="8" borderId="0" xfId="0" applyFont="1" applyFill="1" applyAlignment="1">
      <alignment horizontal="center"/>
    </xf>
    <xf numFmtId="3" fontId="0" fillId="8" borderId="0" xfId="0" applyNumberFormat="1" applyFill="1"/>
    <xf numFmtId="0" fontId="13" fillId="9" borderId="0" xfId="0" applyFont="1" applyFill="1"/>
    <xf numFmtId="0" fontId="13" fillId="9" borderId="0" xfId="0" applyFont="1" applyFill="1" applyAlignment="1">
      <alignment horizontal="center"/>
    </xf>
    <xf numFmtId="3" fontId="0" fillId="9" borderId="0" xfId="0" applyNumberFormat="1" applyFill="1"/>
    <xf numFmtId="0" fontId="13" fillId="10" borderId="0" xfId="0" applyFont="1" applyFill="1"/>
    <xf numFmtId="0" fontId="13" fillId="10" borderId="0" xfId="0" applyFont="1" applyFill="1" applyAlignment="1">
      <alignment horizontal="center"/>
    </xf>
    <xf numFmtId="3" fontId="0" fillId="10" borderId="0" xfId="0" applyNumberFormat="1" applyFill="1"/>
    <xf numFmtId="3" fontId="8" fillId="0" borderId="0" xfId="0" applyNumberFormat="1" applyFont="1"/>
    <xf numFmtId="2" fontId="2" fillId="3" borderId="0" xfId="0" applyNumberFormat="1" applyFont="1" applyFill="1"/>
    <xf numFmtId="2" fontId="0" fillId="0" borderId="8" xfId="0" applyNumberFormat="1" applyBorder="1"/>
    <xf numFmtId="2" fontId="0" fillId="0" borderId="12" xfId="0" applyNumberFormat="1" applyBorder="1"/>
    <xf numFmtId="0" fontId="0" fillId="5" borderId="0" xfId="0" applyFill="1"/>
    <xf numFmtId="0" fontId="13" fillId="9" borderId="0" xfId="0" applyFont="1" applyFill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3" fontId="0" fillId="11" borderId="0" xfId="0" applyNumberFormat="1" applyFill="1"/>
    <xf numFmtId="0" fontId="0" fillId="0" borderId="0" xfId="0" applyAlignment="1">
      <alignment horizontal="center"/>
    </xf>
    <xf numFmtId="3" fontId="0" fillId="12" borderId="0" xfId="0" applyNumberFormat="1" applyFill="1"/>
    <xf numFmtId="0" fontId="0" fillId="0" borderId="0" xfId="0" applyAlignment="1">
      <alignment wrapText="1"/>
    </xf>
    <xf numFmtId="0" fontId="0" fillId="12" borderId="0" xfId="0" applyFill="1"/>
    <xf numFmtId="2" fontId="0" fillId="12" borderId="0" xfId="0" applyNumberFormat="1" applyFill="1"/>
    <xf numFmtId="0" fontId="0" fillId="6" borderId="0" xfId="0" applyFill="1" applyAlignment="1">
      <alignment wrapText="1"/>
    </xf>
    <xf numFmtId="0" fontId="13" fillId="6" borderId="0" xfId="0" applyFont="1" applyFill="1" applyAlignment="1">
      <alignment horizontal="center"/>
    </xf>
    <xf numFmtId="0" fontId="0" fillId="6" borderId="0" xfId="0" applyFill="1"/>
    <xf numFmtId="0" fontId="2" fillId="0" borderId="0" xfId="0" applyFont="1"/>
    <xf numFmtId="0" fontId="0" fillId="13" borderId="0" xfId="0" applyFill="1"/>
    <xf numFmtId="3" fontId="0" fillId="13" borderId="0" xfId="0" applyNumberFormat="1" applyFill="1"/>
    <xf numFmtId="0" fontId="0" fillId="7" borderId="0" xfId="0" applyFill="1"/>
    <xf numFmtId="3" fontId="0" fillId="7" borderId="0" xfId="0" applyNumberForma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3" borderId="0" xfId="0" applyFill="1" applyAlignment="1">
      <alignment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 indent="1"/>
    </xf>
    <xf numFmtId="165" fontId="0" fillId="0" borderId="0" xfId="0" applyNumberFormat="1"/>
    <xf numFmtId="0" fontId="0" fillId="0" borderId="0" xfId="2" applyNumberFormat="1" applyFont="1"/>
    <xf numFmtId="166" fontId="0" fillId="0" borderId="0" xfId="2" applyNumberFormat="1" applyFont="1"/>
    <xf numFmtId="0" fontId="16" fillId="0" borderId="0" xfId="0" applyFont="1" applyAlignment="1">
      <alignment horizontal="left" vertical="center" wrapText="1" indent="1"/>
    </xf>
    <xf numFmtId="0" fontId="0" fillId="0" borderId="0" xfId="0" quotePrefix="1"/>
    <xf numFmtId="0" fontId="9" fillId="0" borderId="0" xfId="3" applyAlignment="1">
      <alignment horizontal="left" vertical="center" wrapText="1" indent="1"/>
    </xf>
    <xf numFmtId="3" fontId="0" fillId="0" borderId="0" xfId="0" quotePrefix="1" applyNumberFormat="1" applyAlignment="1">
      <alignment horizontal="right"/>
    </xf>
    <xf numFmtId="3" fontId="0" fillId="0" borderId="0" xfId="0" quotePrefix="1" applyNumberFormat="1"/>
    <xf numFmtId="0" fontId="2" fillId="14" borderId="13" xfId="0" applyFont="1" applyFill="1" applyBorder="1"/>
    <xf numFmtId="0" fontId="0" fillId="14" borderId="14" xfId="0" applyFill="1" applyBorder="1" applyAlignment="1">
      <alignment horizontal="center"/>
    </xf>
    <xf numFmtId="3" fontId="0" fillId="14" borderId="14" xfId="0" applyNumberFormat="1" applyFill="1" applyBorder="1"/>
    <xf numFmtId="3" fontId="17" fillId="0" borderId="0" xfId="0" applyNumberFormat="1" applyFont="1"/>
  </cellXfs>
  <cellStyles count="4">
    <cellStyle name="Ezres" xfId="1" builtinId="3"/>
    <cellStyle name="Hivatkozás" xfId="3" builtinId="8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117</xdr:row>
      <xdr:rowOff>0</xdr:rowOff>
    </xdr:from>
    <xdr:to>
      <xdr:col>0</xdr:col>
      <xdr:colOff>304800</xdr:colOff>
      <xdr:row>118</xdr:row>
      <xdr:rowOff>114300</xdr:rowOff>
    </xdr:to>
    <xdr:sp macro="" textlink="">
      <xdr:nvSpPr>
        <xdr:cNvPr id="2" name="AutoShape 1" descr="{\displaystyle {NPV}=\sum _{t=1}^{n}{\frac {C_{t}}{(1+r)^{t}}}-C_{0}}">
          <a:extLst>
            <a:ext uri="{FF2B5EF4-FFF2-40B4-BE49-F238E27FC236}">
              <a16:creationId xmlns:a16="http://schemas.microsoft.com/office/drawing/2014/main" id="{F19B836F-69A9-4246-8825-7343312F2D86}"/>
            </a:ext>
          </a:extLst>
        </xdr:cNvPr>
        <xdr:cNvSpPr>
          <a:spLocks noChangeAspect="1" noChangeArrowheads="1"/>
        </xdr:cNvSpPr>
      </xdr:nvSpPr>
      <xdr:spPr bwMode="auto">
        <a:xfrm>
          <a:off x="0" y="24850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304800</xdr:colOff>
      <xdr:row>124</xdr:row>
      <xdr:rowOff>121920</xdr:rowOff>
    </xdr:to>
    <xdr:sp macro="" textlink="">
      <xdr:nvSpPr>
        <xdr:cNvPr id="3" name="AutoShape 2" descr="{\displaystyle C_{t}}">
          <a:extLst>
            <a:ext uri="{FF2B5EF4-FFF2-40B4-BE49-F238E27FC236}">
              <a16:creationId xmlns:a16="http://schemas.microsoft.com/office/drawing/2014/main" id="{DC1FCED5-DDC6-42BA-9886-154B74D31A4B}"/>
            </a:ext>
          </a:extLst>
        </xdr:cNvPr>
        <xdr:cNvSpPr>
          <a:spLocks noChangeAspect="1" noChangeArrowheads="1"/>
        </xdr:cNvSpPr>
      </xdr:nvSpPr>
      <xdr:spPr bwMode="auto">
        <a:xfrm>
          <a:off x="0" y="26088975"/>
          <a:ext cx="30480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304800</xdr:colOff>
      <xdr:row>126</xdr:row>
      <xdr:rowOff>140970</xdr:rowOff>
    </xdr:to>
    <xdr:sp macro="" textlink="">
      <xdr:nvSpPr>
        <xdr:cNvPr id="4" name="AutoShape 3" descr="{\displaystyle C_{0}}">
          <a:extLst>
            <a:ext uri="{FF2B5EF4-FFF2-40B4-BE49-F238E27FC236}">
              <a16:creationId xmlns:a16="http://schemas.microsoft.com/office/drawing/2014/main" id="{01DB3043-3E27-40C3-AB72-974E32F71F4A}"/>
            </a:ext>
          </a:extLst>
        </xdr:cNvPr>
        <xdr:cNvSpPr>
          <a:spLocks noChangeAspect="1" noChangeArrowheads="1"/>
        </xdr:cNvSpPr>
      </xdr:nvSpPr>
      <xdr:spPr bwMode="auto">
        <a:xfrm>
          <a:off x="0" y="26469975"/>
          <a:ext cx="304800" cy="3314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304800</xdr:colOff>
      <xdr:row>127</xdr:row>
      <xdr:rowOff>121920</xdr:rowOff>
    </xdr:to>
    <xdr:sp macro="" textlink="">
      <xdr:nvSpPr>
        <xdr:cNvPr id="5" name="AutoShape 4" descr="t">
          <a:extLst>
            <a:ext uri="{FF2B5EF4-FFF2-40B4-BE49-F238E27FC236}">
              <a16:creationId xmlns:a16="http://schemas.microsoft.com/office/drawing/2014/main" id="{9A66786C-879C-40CC-9F2D-1EA14C8020A2}"/>
            </a:ext>
          </a:extLst>
        </xdr:cNvPr>
        <xdr:cNvSpPr>
          <a:spLocks noChangeAspect="1" noChangeArrowheads="1"/>
        </xdr:cNvSpPr>
      </xdr:nvSpPr>
      <xdr:spPr bwMode="auto">
        <a:xfrm>
          <a:off x="0" y="26755725"/>
          <a:ext cx="30480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650C-25A1-4861-90DB-3B6D1FC68A78}">
  <sheetPr>
    <tabColor rgb="FF92D050"/>
  </sheetPr>
  <dimension ref="A1:F27"/>
  <sheetViews>
    <sheetView tabSelected="1" zoomScaleNormal="100" workbookViewId="0">
      <selection activeCell="I27" sqref="I27"/>
    </sheetView>
  </sheetViews>
  <sheetFormatPr defaultRowHeight="15" x14ac:dyDescent="0.25"/>
  <cols>
    <col min="1" max="1" width="41.42578125" customWidth="1"/>
    <col min="2" max="6" width="20.5703125" customWidth="1"/>
  </cols>
  <sheetData>
    <row r="1" spans="1:6" ht="66.7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Bot="1" x14ac:dyDescent="0.3">
      <c r="A2" s="3" t="s">
        <v>6</v>
      </c>
      <c r="B2" s="4">
        <f>SUM(B3:B6)</f>
        <v>5093500</v>
      </c>
      <c r="C2" s="4">
        <f>SUM(C3:C6)</f>
        <v>1343660</v>
      </c>
      <c r="D2" s="4">
        <f>SUM(D3:D6)</f>
        <v>4318000</v>
      </c>
      <c r="E2" s="4">
        <f>SUM(E3:E6)</f>
        <v>0</v>
      </c>
      <c r="F2" s="4">
        <f>B2+C2+D2+E2</f>
        <v>10755160</v>
      </c>
    </row>
    <row r="3" spans="1:6" ht="29.25" thickBot="1" x14ac:dyDescent="0.3">
      <c r="A3" s="5" t="s">
        <v>7</v>
      </c>
      <c r="B3" s="6">
        <v>0</v>
      </c>
      <c r="C3" s="6">
        <v>0</v>
      </c>
      <c r="D3" s="6">
        <v>4318000</v>
      </c>
      <c r="E3" s="6"/>
      <c r="F3" s="4">
        <f t="shared" ref="F3:F19" si="0">B3+C3+D3+E3</f>
        <v>4318000</v>
      </c>
    </row>
    <row r="4" spans="1:6" ht="29.25" thickBot="1" x14ac:dyDescent="0.3">
      <c r="A4" s="5" t="s">
        <v>8</v>
      </c>
      <c r="B4" s="6">
        <v>2090300</v>
      </c>
      <c r="C4" s="6">
        <v>825500</v>
      </c>
      <c r="D4" s="6">
        <v>0</v>
      </c>
      <c r="E4" s="6"/>
      <c r="F4" s="4">
        <f t="shared" si="0"/>
        <v>2915800</v>
      </c>
    </row>
    <row r="5" spans="1:6" ht="19.5" customHeight="1" thickBot="1" x14ac:dyDescent="0.3">
      <c r="A5" s="5" t="s">
        <v>9</v>
      </c>
      <c r="B5" s="6">
        <v>0</v>
      </c>
      <c r="C5" s="6">
        <v>0</v>
      </c>
      <c r="D5" s="6">
        <v>0</v>
      </c>
      <c r="E5" s="6"/>
      <c r="F5" s="4">
        <f t="shared" si="0"/>
        <v>0</v>
      </c>
    </row>
    <row r="6" spans="1:6" ht="18" customHeight="1" thickBot="1" x14ac:dyDescent="0.3">
      <c r="A6" s="5" t="s">
        <v>10</v>
      </c>
      <c r="B6" s="6">
        <f>1847500+1155700</f>
        <v>3003200</v>
      </c>
      <c r="C6" s="6">
        <v>518160</v>
      </c>
      <c r="D6" s="6">
        <v>0</v>
      </c>
      <c r="E6" s="6"/>
      <c r="F6" s="4">
        <f t="shared" si="0"/>
        <v>3521360</v>
      </c>
    </row>
    <row r="7" spans="1:6" ht="22.5" customHeight="1" thickBot="1" x14ac:dyDescent="0.3">
      <c r="A7" s="3" t="s">
        <v>11</v>
      </c>
      <c r="B7" s="4">
        <f>SUM(B8:B10)</f>
        <v>0</v>
      </c>
      <c r="C7" s="4">
        <f>SUM(C8:C10)</f>
        <v>0</v>
      </c>
      <c r="D7" s="4">
        <f>SUM(D8:D10)</f>
        <v>0</v>
      </c>
      <c r="E7" s="4">
        <f>SUM(E8:E10)</f>
        <v>1418184870</v>
      </c>
      <c r="F7" s="4">
        <f t="shared" si="0"/>
        <v>1418184870</v>
      </c>
    </row>
    <row r="8" spans="1:6" ht="21" customHeight="1" thickBot="1" x14ac:dyDescent="0.3">
      <c r="A8" s="5" t="s">
        <v>12</v>
      </c>
      <c r="B8" s="6">
        <v>0</v>
      </c>
      <c r="C8" s="6">
        <v>0</v>
      </c>
      <c r="D8" s="6">
        <v>0</v>
      </c>
      <c r="E8" s="6"/>
      <c r="F8" s="4">
        <f t="shared" si="0"/>
        <v>0</v>
      </c>
    </row>
    <row r="9" spans="1:6" ht="15.75" thickBot="1" x14ac:dyDescent="0.3">
      <c r="A9" s="5" t="s">
        <v>13</v>
      </c>
      <c r="B9" s="6"/>
      <c r="C9" s="6"/>
      <c r="D9" s="6">
        <v>0</v>
      </c>
      <c r="E9" s="6">
        <v>1418184870</v>
      </c>
      <c r="F9" s="4">
        <f t="shared" si="0"/>
        <v>1418184870</v>
      </c>
    </row>
    <row r="10" spans="1:6" ht="15.75" thickBot="1" x14ac:dyDescent="0.3">
      <c r="A10" s="5" t="s">
        <v>14</v>
      </c>
      <c r="B10" s="6">
        <v>0</v>
      </c>
      <c r="C10" s="6">
        <v>0</v>
      </c>
      <c r="D10" s="6">
        <v>0</v>
      </c>
      <c r="E10" s="6"/>
      <c r="F10" s="4">
        <f t="shared" si="0"/>
        <v>0</v>
      </c>
    </row>
    <row r="11" spans="1:6" ht="15.75" thickBot="1" x14ac:dyDescent="0.3">
      <c r="A11" s="3" t="s">
        <v>15</v>
      </c>
      <c r="B11" s="4">
        <f>SUM(B12:B16)</f>
        <v>404775</v>
      </c>
      <c r="C11" s="4">
        <f>SUM(C12:C16)</f>
        <v>2082800</v>
      </c>
      <c r="D11" s="4">
        <f>SUM(D12:D16)</f>
        <v>4165600</v>
      </c>
      <c r="E11" s="4">
        <f>SUM(E12:E16)</f>
        <v>32400000</v>
      </c>
      <c r="F11" s="4">
        <f t="shared" si="0"/>
        <v>39053175</v>
      </c>
    </row>
    <row r="12" spans="1:6" ht="15.75" thickBot="1" x14ac:dyDescent="0.3">
      <c r="A12" s="5" t="s">
        <v>16</v>
      </c>
      <c r="B12" s="6">
        <v>0</v>
      </c>
      <c r="C12" s="6">
        <v>0</v>
      </c>
      <c r="D12" s="6">
        <v>0</v>
      </c>
      <c r="E12" s="6">
        <f>500000*36</f>
        <v>18000000</v>
      </c>
      <c r="F12" s="4">
        <f t="shared" si="0"/>
        <v>18000000</v>
      </c>
    </row>
    <row r="13" spans="1:6" ht="15.75" thickBot="1" x14ac:dyDescent="0.3">
      <c r="A13" s="5" t="s">
        <v>17</v>
      </c>
      <c r="B13" s="6"/>
      <c r="C13" s="6">
        <v>2082800</v>
      </c>
      <c r="D13" s="6">
        <v>4165600</v>
      </c>
      <c r="E13" s="6">
        <f>400000*36</f>
        <v>14400000</v>
      </c>
      <c r="F13" s="4">
        <f t="shared" si="0"/>
        <v>20648400</v>
      </c>
    </row>
    <row r="14" spans="1:6" ht="15.75" thickBot="1" x14ac:dyDescent="0.3">
      <c r="A14" s="5" t="s">
        <v>18</v>
      </c>
      <c r="B14" s="6">
        <v>0</v>
      </c>
      <c r="C14" s="6">
        <v>0</v>
      </c>
      <c r="D14" s="6">
        <v>0</v>
      </c>
      <c r="E14" s="6"/>
      <c r="F14" s="4">
        <f t="shared" si="0"/>
        <v>0</v>
      </c>
    </row>
    <row r="15" spans="1:6" ht="15.75" thickBot="1" x14ac:dyDescent="0.3">
      <c r="A15" s="5" t="s">
        <v>19</v>
      </c>
      <c r="B15" s="6">
        <v>404775</v>
      </c>
      <c r="C15" s="6"/>
      <c r="D15" s="6">
        <v>0</v>
      </c>
      <c r="E15" s="6"/>
      <c r="F15" s="4">
        <f t="shared" si="0"/>
        <v>404775</v>
      </c>
    </row>
    <row r="16" spans="1:6" ht="15.75" thickBot="1" x14ac:dyDescent="0.3">
      <c r="A16" s="5" t="s">
        <v>20</v>
      </c>
      <c r="B16" s="6">
        <v>0</v>
      </c>
      <c r="C16" s="6">
        <v>0</v>
      </c>
      <c r="D16" s="6">
        <v>0</v>
      </c>
      <c r="E16" s="6"/>
      <c r="F16" s="4">
        <f t="shared" si="0"/>
        <v>0</v>
      </c>
    </row>
    <row r="17" spans="1:6" ht="15.75" thickBot="1" x14ac:dyDescent="0.3">
      <c r="A17" s="3" t="s">
        <v>21</v>
      </c>
      <c r="B17" s="4">
        <f>SUM(B18:B19)</f>
        <v>0</v>
      </c>
      <c r="C17" s="4">
        <f>SUM(C18:C19)</f>
        <v>55423265</v>
      </c>
      <c r="D17" s="4">
        <f>SUM(D18:D19)</f>
        <v>0</v>
      </c>
      <c r="E17" s="4">
        <f>SUM(E18:E19)</f>
        <v>0</v>
      </c>
      <c r="F17" s="4">
        <f t="shared" si="0"/>
        <v>55423265</v>
      </c>
    </row>
    <row r="18" spans="1:6" ht="29.25" thickBot="1" x14ac:dyDescent="0.3">
      <c r="A18" s="5" t="s">
        <v>22</v>
      </c>
      <c r="B18" s="6">
        <v>0</v>
      </c>
      <c r="C18" s="6">
        <v>0</v>
      </c>
      <c r="D18" s="6">
        <v>0</v>
      </c>
      <c r="E18" s="6"/>
      <c r="F18" s="4">
        <f t="shared" si="0"/>
        <v>0</v>
      </c>
    </row>
    <row r="19" spans="1:6" ht="15.75" thickBot="1" x14ac:dyDescent="0.3">
      <c r="A19" s="5" t="s">
        <v>23</v>
      </c>
      <c r="B19" s="6">
        <v>0</v>
      </c>
      <c r="C19" s="6">
        <v>55423265</v>
      </c>
      <c r="D19" s="6">
        <v>0</v>
      </c>
      <c r="E19" s="6"/>
      <c r="F19" s="4">
        <f t="shared" si="0"/>
        <v>55423265</v>
      </c>
    </row>
    <row r="20" spans="1:6" ht="15.75" thickBot="1" x14ac:dyDescent="0.3">
      <c r="A20" s="3" t="s">
        <v>24</v>
      </c>
      <c r="B20" s="4">
        <f>B2+B7+B11+B17</f>
        <v>5498275</v>
      </c>
      <c r="C20" s="4">
        <f>C2+C7+C11+C17</f>
        <v>58849725</v>
      </c>
      <c r="D20" s="4">
        <f>D2+D7+D11+D17</f>
        <v>8483600</v>
      </c>
      <c r="E20" s="4">
        <f>E2+E7+E11+E17</f>
        <v>1450584870</v>
      </c>
      <c r="F20" s="4">
        <f>B20+C20+D20+E20</f>
        <v>1523416470</v>
      </c>
    </row>
    <row r="21" spans="1:6" ht="15.75" thickBot="1" x14ac:dyDescent="0.3">
      <c r="A21" s="3" t="s">
        <v>25</v>
      </c>
      <c r="B21" s="4">
        <v>0</v>
      </c>
      <c r="C21" s="4"/>
      <c r="D21" s="4">
        <v>0</v>
      </c>
      <c r="E21" s="4"/>
      <c r="F21" s="4">
        <f t="shared" ref="F21:F22" si="1">B21+C21+D21+E21</f>
        <v>0</v>
      </c>
    </row>
    <row r="22" spans="1:6" ht="15.75" thickBot="1" x14ac:dyDescent="0.3">
      <c r="A22" s="3" t="s">
        <v>26</v>
      </c>
      <c r="B22" s="4">
        <f>B20</f>
        <v>5498275</v>
      </c>
      <c r="C22" s="4">
        <f>C20</f>
        <v>58849725</v>
      </c>
      <c r="D22" s="4">
        <f>D20</f>
        <v>8483600</v>
      </c>
      <c r="E22" s="4">
        <f>E20</f>
        <v>1450584870</v>
      </c>
      <c r="F22" s="4">
        <f t="shared" si="1"/>
        <v>1523416470</v>
      </c>
    </row>
    <row r="24" spans="1:6" x14ac:dyDescent="0.25">
      <c r="A24" s="7"/>
    </row>
    <row r="25" spans="1:6" x14ac:dyDescent="0.25">
      <c r="A25" s="7"/>
    </row>
    <row r="27" spans="1:6" ht="42" customHeight="1" x14ac:dyDescent="0.25">
      <c r="A27" s="8" t="s">
        <v>27</v>
      </c>
      <c r="B27" s="9"/>
      <c r="C27" s="9"/>
      <c r="D27" s="9"/>
      <c r="E27" s="9"/>
      <c r="F27" s="9"/>
    </row>
  </sheetData>
  <mergeCells count="1">
    <mergeCell ref="A27:F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7ED22-F68B-4089-B7C7-8CFB3EF0C3DC}">
  <sheetPr>
    <tabColor rgb="FF92D050"/>
  </sheetPr>
  <dimension ref="A1:U132"/>
  <sheetViews>
    <sheetView zoomScaleNormal="100" workbookViewId="0">
      <selection activeCell="M39" sqref="M39"/>
    </sheetView>
  </sheetViews>
  <sheetFormatPr defaultRowHeight="15" x14ac:dyDescent="0.25"/>
  <cols>
    <col min="1" max="1" width="42.140625" customWidth="1"/>
    <col min="2" max="2" width="24.85546875" bestFit="1" customWidth="1"/>
    <col min="3" max="3" width="14.5703125" customWidth="1"/>
    <col min="4" max="4" width="22.140625" bestFit="1" customWidth="1"/>
    <col min="5" max="5" width="16" customWidth="1"/>
    <col min="6" max="6" width="12" customWidth="1"/>
    <col min="7" max="7" width="14.5703125" bestFit="1" customWidth="1"/>
    <col min="8" max="19" width="12.140625" customWidth="1"/>
    <col min="20" max="20" width="15" bestFit="1" customWidth="1"/>
    <col min="21" max="21" width="15.5703125" bestFit="1" customWidth="1"/>
  </cols>
  <sheetData>
    <row r="1" spans="1:21" ht="59.25" customHeight="1" x14ac:dyDescent="0.25">
      <c r="A1" s="10" t="s">
        <v>28</v>
      </c>
      <c r="B1" s="10" t="s">
        <v>29</v>
      </c>
      <c r="C1" s="10" t="s">
        <v>30</v>
      </c>
      <c r="D1" s="10" t="s">
        <v>31</v>
      </c>
      <c r="E1" s="10" t="s">
        <v>32</v>
      </c>
      <c r="F1" s="11" t="s">
        <v>33</v>
      </c>
      <c r="G1" s="11" t="s">
        <v>34</v>
      </c>
      <c r="H1" s="11" t="s">
        <v>35</v>
      </c>
      <c r="I1" s="11" t="s">
        <v>36</v>
      </c>
      <c r="J1" s="11" t="s">
        <v>37</v>
      </c>
      <c r="K1" s="11" t="s">
        <v>38</v>
      </c>
      <c r="L1" s="11" t="s">
        <v>39</v>
      </c>
      <c r="M1" s="11" t="s">
        <v>40</v>
      </c>
      <c r="N1" s="11" t="s">
        <v>41</v>
      </c>
      <c r="O1" s="11" t="s">
        <v>42</v>
      </c>
      <c r="P1" s="11" t="s">
        <v>43</v>
      </c>
      <c r="Q1" s="11" t="s">
        <v>44</v>
      </c>
      <c r="R1" s="11" t="s">
        <v>45</v>
      </c>
      <c r="S1" s="11" t="s">
        <v>46</v>
      </c>
      <c r="T1" s="10" t="s">
        <v>47</v>
      </c>
      <c r="U1" s="10" t="s">
        <v>48</v>
      </c>
    </row>
    <row r="2" spans="1:21" ht="15.75" thickBot="1" x14ac:dyDescent="0.3">
      <c r="A2" s="12"/>
      <c r="B2" s="12"/>
      <c r="C2" s="12"/>
      <c r="D2" s="12"/>
      <c r="E2" s="12"/>
      <c r="F2" s="13" t="s">
        <v>49</v>
      </c>
      <c r="G2" s="13" t="s">
        <v>50</v>
      </c>
      <c r="H2" s="13" t="s">
        <v>51</v>
      </c>
      <c r="I2" s="13" t="s">
        <v>52</v>
      </c>
      <c r="J2" s="13" t="s">
        <v>53</v>
      </c>
      <c r="K2" s="13" t="s">
        <v>54</v>
      </c>
      <c r="L2" s="13" t="s">
        <v>55</v>
      </c>
      <c r="M2" s="13" t="s">
        <v>56</v>
      </c>
      <c r="N2" s="13" t="s">
        <v>57</v>
      </c>
      <c r="O2" s="13" t="s">
        <v>58</v>
      </c>
      <c r="P2" s="13" t="s">
        <v>59</v>
      </c>
      <c r="Q2" s="13" t="s">
        <v>60</v>
      </c>
      <c r="R2" s="13" t="s">
        <v>61</v>
      </c>
      <c r="S2" s="13" t="s">
        <v>62</v>
      </c>
      <c r="T2" s="12"/>
      <c r="U2" s="12"/>
    </row>
    <row r="3" spans="1:21" ht="15.75" thickBot="1" x14ac:dyDescent="0.3">
      <c r="A3" s="14" t="s">
        <v>63</v>
      </c>
      <c r="B3" s="15">
        <f t="shared" ref="B3:B10" si="0">NPV($E$119,F3:T3)</f>
        <v>509170714.95915091</v>
      </c>
      <c r="C3" s="16">
        <f>SUM(C4:C6)</f>
        <v>0</v>
      </c>
      <c r="D3" s="16">
        <f>SUM(D4:D6)</f>
        <v>0</v>
      </c>
      <c r="E3" s="16">
        <f>SUM(E4:E6)</f>
        <v>0</v>
      </c>
      <c r="F3" s="16">
        <f>SUM(F4:F7)</f>
        <v>20013661.849999994</v>
      </c>
      <c r="G3" s="16">
        <f t="shared" ref="G3:T3" si="1">SUM(G4:G7)</f>
        <v>22015028.034999996</v>
      </c>
      <c r="H3" s="16">
        <f t="shared" si="1"/>
        <v>24216530.838499997</v>
      </c>
      <c r="I3" s="16">
        <f t="shared" si="1"/>
        <v>26638183.922350001</v>
      </c>
      <c r="J3" s="16">
        <f t="shared" si="1"/>
        <v>29302002.314585</v>
      </c>
      <c r="K3" s="16">
        <f t="shared" si="1"/>
        <v>30767102.43031425</v>
      </c>
      <c r="L3" s="16">
        <f t="shared" si="1"/>
        <v>32305457.551829964</v>
      </c>
      <c r="M3" s="16">
        <f t="shared" si="1"/>
        <v>33920730.429421462</v>
      </c>
      <c r="N3" s="16">
        <f t="shared" si="1"/>
        <v>35616766.950892538</v>
      </c>
      <c r="O3" s="16">
        <f t="shared" si="1"/>
        <v>37397605.298437171</v>
      </c>
      <c r="P3" s="16">
        <f t="shared" si="1"/>
        <v>39267485.56335903</v>
      </c>
      <c r="Q3" s="16">
        <f t="shared" si="1"/>
        <v>41230859.841526978</v>
      </c>
      <c r="R3" s="16">
        <f t="shared" si="1"/>
        <v>43292402.83360333</v>
      </c>
      <c r="S3" s="16">
        <f t="shared" si="1"/>
        <v>45457022.975283504</v>
      </c>
      <c r="T3" s="16">
        <f t="shared" si="1"/>
        <v>47729874.124047682</v>
      </c>
      <c r="U3" s="16">
        <f t="shared" ref="U3:U14" si="2">SUM(C3:T3)</f>
        <v>509170714.95915091</v>
      </c>
    </row>
    <row r="4" spans="1:21" ht="15.75" thickBot="1" x14ac:dyDescent="0.3">
      <c r="A4" s="17" t="s">
        <v>64</v>
      </c>
      <c r="B4" s="15">
        <f t="shared" si="0"/>
        <v>93908068.29475452</v>
      </c>
      <c r="C4" s="18">
        <v>0</v>
      </c>
      <c r="D4" s="18">
        <v>0</v>
      </c>
      <c r="E4" s="19">
        <v>0</v>
      </c>
      <c r="F4" s="18">
        <f>E103</f>
        <v>3691187</v>
      </c>
      <c r="G4" s="18">
        <f>F103</f>
        <v>4060305.6999999997</v>
      </c>
      <c r="H4" s="18">
        <f>G103</f>
        <v>4466336.2699999996</v>
      </c>
      <c r="I4" s="18">
        <f>H103</f>
        <v>4912969.8970000008</v>
      </c>
      <c r="J4" s="18">
        <f>I103</f>
        <v>5404266.8867000006</v>
      </c>
      <c r="K4" s="18">
        <f>J4*1.05</f>
        <v>5674480.2310350006</v>
      </c>
      <c r="L4" s="18">
        <f t="shared" ref="L4:T4" si="3">K4*1.05</f>
        <v>5958204.2425867505</v>
      </c>
      <c r="M4" s="18">
        <f t="shared" si="3"/>
        <v>6256114.4547160883</v>
      </c>
      <c r="N4" s="18">
        <f t="shared" si="3"/>
        <v>6568920.1774518928</v>
      </c>
      <c r="O4" s="18">
        <f t="shared" si="3"/>
        <v>6897366.1863244874</v>
      </c>
      <c r="P4" s="18">
        <f t="shared" si="3"/>
        <v>7242234.4956407119</v>
      </c>
      <c r="Q4" s="18">
        <f t="shared" si="3"/>
        <v>7604346.2204227475</v>
      </c>
      <c r="R4" s="18">
        <f t="shared" si="3"/>
        <v>7984563.5314438855</v>
      </c>
      <c r="S4" s="18">
        <f t="shared" si="3"/>
        <v>8383791.7080160799</v>
      </c>
      <c r="T4" s="18">
        <f t="shared" si="3"/>
        <v>8802981.2934168838</v>
      </c>
      <c r="U4" s="18">
        <f t="shared" si="2"/>
        <v>93908068.29475452</v>
      </c>
    </row>
    <row r="5" spans="1:21" ht="15.75" thickBot="1" x14ac:dyDescent="0.3">
      <c r="A5" s="17" t="s">
        <v>65</v>
      </c>
      <c r="B5" s="15">
        <f t="shared" si="0"/>
        <v>11612612.334983429</v>
      </c>
      <c r="C5" s="18">
        <v>0</v>
      </c>
      <c r="D5" s="18">
        <v>0</v>
      </c>
      <c r="E5" s="19">
        <v>0</v>
      </c>
      <c r="F5" s="18">
        <f>E104</f>
        <v>456449.85</v>
      </c>
      <c r="G5" s="18">
        <f t="shared" ref="G5:J6" si="4">F104</f>
        <v>502094.83500000008</v>
      </c>
      <c r="H5" s="18">
        <f t="shared" si="4"/>
        <v>552304.31850000005</v>
      </c>
      <c r="I5" s="18">
        <f t="shared" si="4"/>
        <v>607534.7503500001</v>
      </c>
      <c r="J5" s="18">
        <f t="shared" si="4"/>
        <v>668288.22538500023</v>
      </c>
      <c r="K5" s="18">
        <f t="shared" ref="K5:T7" si="5">J5*1.05</f>
        <v>701702.63665425032</v>
      </c>
      <c r="L5" s="18">
        <f t="shared" si="5"/>
        <v>736787.76848696289</v>
      </c>
      <c r="M5" s="18">
        <f t="shared" si="5"/>
        <v>773627.15691131109</v>
      </c>
      <c r="N5" s="18">
        <f t="shared" si="5"/>
        <v>812308.51475687663</v>
      </c>
      <c r="O5" s="18">
        <f t="shared" si="5"/>
        <v>852923.94049472047</v>
      </c>
      <c r="P5" s="18">
        <f t="shared" si="5"/>
        <v>895570.13751945656</v>
      </c>
      <c r="Q5" s="18">
        <f t="shared" si="5"/>
        <v>940348.64439542941</v>
      </c>
      <c r="R5" s="18">
        <f t="shared" si="5"/>
        <v>987366.07661520096</v>
      </c>
      <c r="S5" s="18">
        <f t="shared" si="5"/>
        <v>1036734.380445961</v>
      </c>
      <c r="T5" s="18">
        <f t="shared" si="5"/>
        <v>1088571.0994682591</v>
      </c>
      <c r="U5" s="18">
        <f t="shared" si="2"/>
        <v>11612612.334983429</v>
      </c>
    </row>
    <row r="6" spans="1:21" ht="15.75" thickBot="1" x14ac:dyDescent="0.3">
      <c r="A6" s="17" t="s">
        <v>66</v>
      </c>
      <c r="B6" s="15">
        <f t="shared" si="0"/>
        <v>6920630.7558735441</v>
      </c>
      <c r="C6" s="18">
        <v>0</v>
      </c>
      <c r="D6" s="18">
        <v>0</v>
      </c>
      <c r="E6" s="19">
        <v>0</v>
      </c>
      <c r="F6" s="18">
        <f>E105</f>
        <v>272025</v>
      </c>
      <c r="G6" s="18">
        <f t="shared" si="4"/>
        <v>299227.5</v>
      </c>
      <c r="H6" s="18">
        <f t="shared" si="4"/>
        <v>329150.25</v>
      </c>
      <c r="I6" s="18">
        <f t="shared" si="4"/>
        <v>362065.27500000002</v>
      </c>
      <c r="J6" s="18">
        <f t="shared" si="4"/>
        <v>398271.80250000011</v>
      </c>
      <c r="K6" s="18">
        <f t="shared" si="5"/>
        <v>418185.39262500015</v>
      </c>
      <c r="L6" s="18">
        <f t="shared" si="5"/>
        <v>439094.66225625016</v>
      </c>
      <c r="M6" s="18">
        <f t="shared" si="5"/>
        <v>461049.39536906267</v>
      </c>
      <c r="N6" s="18">
        <f t="shared" si="5"/>
        <v>484101.86513751582</v>
      </c>
      <c r="O6" s="18">
        <f t="shared" si="5"/>
        <v>508306.95839439164</v>
      </c>
      <c r="P6" s="18">
        <f t="shared" si="5"/>
        <v>533722.30631411122</v>
      </c>
      <c r="Q6" s="18">
        <f t="shared" si="5"/>
        <v>560408.42162981676</v>
      </c>
      <c r="R6" s="18">
        <f t="shared" si="5"/>
        <v>588428.84271130757</v>
      </c>
      <c r="S6" s="18">
        <f t="shared" si="5"/>
        <v>617850.28484687302</v>
      </c>
      <c r="T6" s="18">
        <f t="shared" si="5"/>
        <v>648742.79908921674</v>
      </c>
      <c r="U6" s="18">
        <f t="shared" si="2"/>
        <v>6920630.7558735441</v>
      </c>
    </row>
    <row r="7" spans="1:21" ht="15.75" thickBot="1" x14ac:dyDescent="0.3">
      <c r="A7" s="17" t="s">
        <v>67</v>
      </c>
      <c r="B7" s="15">
        <f t="shared" si="0"/>
        <v>396729403.57353938</v>
      </c>
      <c r="C7" s="18">
        <v>0</v>
      </c>
      <c r="D7" s="18">
        <v>0</v>
      </c>
      <c r="E7" s="19">
        <v>0</v>
      </c>
      <c r="F7" s="18">
        <f>E110</f>
        <v>15593999.999999996</v>
      </c>
      <c r="G7" s="18">
        <f t="shared" ref="G7:J7" si="6">F110</f>
        <v>17153399.999999996</v>
      </c>
      <c r="H7" s="18">
        <f t="shared" si="6"/>
        <v>18868739.999999996</v>
      </c>
      <c r="I7" s="18">
        <f t="shared" si="6"/>
        <v>20755614</v>
      </c>
      <c r="J7" s="18">
        <f t="shared" si="6"/>
        <v>22831175.399999999</v>
      </c>
      <c r="K7" s="18">
        <f>J7*1.05</f>
        <v>23972734.169999998</v>
      </c>
      <c r="L7" s="18">
        <f t="shared" si="5"/>
        <v>25171370.8785</v>
      </c>
      <c r="M7" s="18">
        <f t="shared" si="5"/>
        <v>26429939.422425002</v>
      </c>
      <c r="N7" s="18">
        <f t="shared" si="5"/>
        <v>27751436.393546253</v>
      </c>
      <c r="O7" s="18">
        <f t="shared" si="5"/>
        <v>29139008.213223569</v>
      </c>
      <c r="P7" s="18">
        <f t="shared" si="5"/>
        <v>30595958.623884749</v>
      </c>
      <c r="Q7" s="18">
        <f t="shared" si="5"/>
        <v>32125756.555078987</v>
      </c>
      <c r="R7" s="18">
        <f t="shared" si="5"/>
        <v>33732044.382832937</v>
      </c>
      <c r="S7" s="18">
        <f t="shared" si="5"/>
        <v>35418646.601974584</v>
      </c>
      <c r="T7" s="18">
        <f t="shared" si="5"/>
        <v>37189578.932073317</v>
      </c>
      <c r="U7" s="18">
        <f t="shared" si="2"/>
        <v>396729403.57353938</v>
      </c>
    </row>
    <row r="8" spans="1:21" ht="15.75" thickBot="1" x14ac:dyDescent="0.3">
      <c r="A8" s="14" t="s">
        <v>68</v>
      </c>
      <c r="B8" s="15">
        <f t="shared" si="0"/>
        <v>92989944.152990073</v>
      </c>
      <c r="C8" s="16">
        <f t="shared" ref="C8:E8" si="7">SUM(C9:C10)</f>
        <v>0</v>
      </c>
      <c r="D8" s="16">
        <f t="shared" ref="D8" si="8">SUM(D9:D10)</f>
        <v>0</v>
      </c>
      <c r="E8" s="16">
        <f t="shared" si="7"/>
        <v>0</v>
      </c>
      <c r="F8" s="16">
        <f>SUM(F9:F11)</f>
        <v>3690000</v>
      </c>
      <c r="G8" s="16">
        <f t="shared" ref="G8:T8" si="9">SUM(G9:G11)</f>
        <v>4044000</v>
      </c>
      <c r="H8" s="16">
        <f t="shared" si="9"/>
        <v>4630630.0000000009</v>
      </c>
      <c r="I8" s="16">
        <f t="shared" si="9"/>
        <v>4861740.0000000019</v>
      </c>
      <c r="J8" s="16">
        <f t="shared" si="9"/>
        <v>5332914.0000000019</v>
      </c>
      <c r="K8" s="16">
        <f t="shared" si="9"/>
        <v>5599559.700000002</v>
      </c>
      <c r="L8" s="16">
        <f t="shared" si="9"/>
        <v>5879537.6850000024</v>
      </c>
      <c r="M8" s="16">
        <f t="shared" si="9"/>
        <v>6173514.5692500025</v>
      </c>
      <c r="N8" s="16">
        <f t="shared" si="9"/>
        <v>6482190.297712503</v>
      </c>
      <c r="O8" s="16">
        <f t="shared" si="9"/>
        <v>6806299.8125981288</v>
      </c>
      <c r="P8" s="16">
        <f t="shared" si="9"/>
        <v>7146614.8032280356</v>
      </c>
      <c r="Q8" s="16">
        <f t="shared" si="9"/>
        <v>7503945.5433894377</v>
      </c>
      <c r="R8" s="16">
        <f t="shared" si="9"/>
        <v>7879142.8205589103</v>
      </c>
      <c r="S8" s="16">
        <f t="shared" si="9"/>
        <v>8273099.9615868563</v>
      </c>
      <c r="T8" s="16">
        <f t="shared" si="9"/>
        <v>8686754.9596662</v>
      </c>
      <c r="U8" s="16">
        <f t="shared" si="2"/>
        <v>92989944.152990073</v>
      </c>
    </row>
    <row r="9" spans="1:21" ht="15.75" thickBot="1" x14ac:dyDescent="0.3">
      <c r="A9" s="17" t="s">
        <v>69</v>
      </c>
      <c r="B9" s="15">
        <f t="shared" si="0"/>
        <v>27985272.792798087</v>
      </c>
      <c r="C9" s="18">
        <v>0</v>
      </c>
      <c r="D9" s="18">
        <v>0</v>
      </c>
      <c r="E9" s="19">
        <v>0</v>
      </c>
      <c r="F9" s="18">
        <f>E106</f>
        <v>1100000</v>
      </c>
      <c r="G9" s="18">
        <f t="shared" ref="G9:J9" si="10">F106</f>
        <v>1210000</v>
      </c>
      <c r="H9" s="18">
        <f t="shared" si="10"/>
        <v>1331000.0000000002</v>
      </c>
      <c r="I9" s="18">
        <f t="shared" si="10"/>
        <v>1464100.0000000005</v>
      </c>
      <c r="J9" s="18">
        <f t="shared" si="10"/>
        <v>1610510.0000000005</v>
      </c>
      <c r="K9" s="18">
        <f t="shared" ref="K9:T11" si="11">J9*1.05</f>
        <v>1691035.5000000005</v>
      </c>
      <c r="L9" s="18">
        <f t="shared" si="11"/>
        <v>1775587.2750000006</v>
      </c>
      <c r="M9" s="18">
        <f t="shared" si="11"/>
        <v>1864366.6387500006</v>
      </c>
      <c r="N9" s="18">
        <f t="shared" si="11"/>
        <v>1957584.9706875007</v>
      </c>
      <c r="O9" s="18">
        <f t="shared" si="11"/>
        <v>2055464.2192218758</v>
      </c>
      <c r="P9" s="18">
        <f t="shared" si="11"/>
        <v>2158237.4301829697</v>
      </c>
      <c r="Q9" s="18">
        <f t="shared" si="11"/>
        <v>2266149.3016921184</v>
      </c>
      <c r="R9" s="18">
        <f t="shared" si="11"/>
        <v>2379456.7667767243</v>
      </c>
      <c r="S9" s="18">
        <f t="shared" si="11"/>
        <v>2498429.6051155603</v>
      </c>
      <c r="T9" s="18">
        <f t="shared" si="11"/>
        <v>2623351.0853713383</v>
      </c>
      <c r="U9" s="18">
        <f t="shared" si="2"/>
        <v>27985272.792798087</v>
      </c>
    </row>
    <row r="10" spans="1:21" ht="15.75" thickBot="1" x14ac:dyDescent="0.3">
      <c r="A10" s="17" t="s">
        <v>70</v>
      </c>
      <c r="B10" s="15">
        <f t="shared" si="0"/>
        <v>2928248.0743489405</v>
      </c>
      <c r="C10" s="18">
        <v>0</v>
      </c>
      <c r="D10" s="18">
        <v>0</v>
      </c>
      <c r="E10" s="19">
        <v>0</v>
      </c>
      <c r="F10" s="18">
        <f>E108</f>
        <v>150000</v>
      </c>
      <c r="G10" s="18">
        <f t="shared" ref="G10:J10" si="12">F108</f>
        <v>150000</v>
      </c>
      <c r="H10" s="18">
        <f t="shared" si="12"/>
        <v>347230</v>
      </c>
      <c r="I10" s="18">
        <f t="shared" si="12"/>
        <v>150000</v>
      </c>
      <c r="J10" s="18">
        <f t="shared" si="12"/>
        <v>150000</v>
      </c>
      <c r="K10" s="18">
        <f t="shared" si="11"/>
        <v>157500</v>
      </c>
      <c r="L10" s="18">
        <f t="shared" si="11"/>
        <v>165375</v>
      </c>
      <c r="M10" s="18">
        <f t="shared" si="11"/>
        <v>173643.75</v>
      </c>
      <c r="N10" s="18">
        <f t="shared" si="11"/>
        <v>182325.9375</v>
      </c>
      <c r="O10" s="18">
        <f t="shared" si="11"/>
        <v>191442.234375</v>
      </c>
      <c r="P10" s="18">
        <f t="shared" si="11"/>
        <v>201014.34609375001</v>
      </c>
      <c r="Q10" s="18">
        <f t="shared" si="11"/>
        <v>211065.06339843752</v>
      </c>
      <c r="R10" s="18">
        <f t="shared" si="11"/>
        <v>221618.31656835941</v>
      </c>
      <c r="S10" s="18">
        <f t="shared" si="11"/>
        <v>232699.2323967774</v>
      </c>
      <c r="T10" s="18">
        <f t="shared" si="11"/>
        <v>244334.19401661627</v>
      </c>
      <c r="U10" s="18">
        <f t="shared" si="2"/>
        <v>2928248.0743489405</v>
      </c>
    </row>
    <row r="11" spans="1:21" ht="15.75" thickBot="1" x14ac:dyDescent="0.3">
      <c r="A11" s="17" t="s">
        <v>71</v>
      </c>
      <c r="B11" s="15"/>
      <c r="C11" s="18"/>
      <c r="D11" s="18"/>
      <c r="E11" s="19"/>
      <c r="F11" s="18">
        <f>E107</f>
        <v>2440000</v>
      </c>
      <c r="G11" s="18">
        <f t="shared" ref="G11:J11" si="13">F107</f>
        <v>2684000</v>
      </c>
      <c r="H11" s="18">
        <f t="shared" si="13"/>
        <v>2952400.0000000009</v>
      </c>
      <c r="I11" s="18">
        <f t="shared" si="13"/>
        <v>3247640.0000000009</v>
      </c>
      <c r="J11" s="18">
        <f t="shared" si="13"/>
        <v>3572404.0000000014</v>
      </c>
      <c r="K11" s="18">
        <f t="shared" si="11"/>
        <v>3751024.2000000016</v>
      </c>
      <c r="L11" s="18">
        <f t="shared" si="11"/>
        <v>3938575.410000002</v>
      </c>
      <c r="M11" s="18">
        <f t="shared" si="11"/>
        <v>4135504.1805000021</v>
      </c>
      <c r="N11" s="18">
        <f t="shared" si="11"/>
        <v>4342279.3895250028</v>
      </c>
      <c r="O11" s="18">
        <f t="shared" si="11"/>
        <v>4559393.3590012528</v>
      </c>
      <c r="P11" s="18">
        <f t="shared" si="11"/>
        <v>4787363.0269513158</v>
      </c>
      <c r="Q11" s="18">
        <f t="shared" si="11"/>
        <v>5026731.1782988822</v>
      </c>
      <c r="R11" s="18">
        <f t="shared" si="11"/>
        <v>5278067.7372138267</v>
      </c>
      <c r="S11" s="18">
        <f t="shared" si="11"/>
        <v>5541971.1240745187</v>
      </c>
      <c r="T11" s="18">
        <f t="shared" si="11"/>
        <v>5819069.6802782444</v>
      </c>
      <c r="U11" s="18">
        <f t="shared" si="2"/>
        <v>62076423.285843045</v>
      </c>
    </row>
    <row r="12" spans="1:21" ht="15.75" thickBot="1" x14ac:dyDescent="0.3">
      <c r="A12" s="14" t="s">
        <v>72</v>
      </c>
      <c r="B12" s="15">
        <f>NPV($E$119,F12:T12)</f>
        <v>10303668.61916657</v>
      </c>
      <c r="C12" s="16">
        <v>0</v>
      </c>
      <c r="D12" s="16">
        <v>0</v>
      </c>
      <c r="E12" s="16">
        <v>0</v>
      </c>
      <c r="F12" s="16">
        <f>SUM(F13)</f>
        <v>405000</v>
      </c>
      <c r="G12" s="16">
        <f t="shared" ref="G12:T12" si="14">SUM(G13)</f>
        <v>445500</v>
      </c>
      <c r="H12" s="16">
        <f t="shared" si="14"/>
        <v>490050.00000000012</v>
      </c>
      <c r="I12" s="16">
        <f t="shared" si="14"/>
        <v>539055.00000000023</v>
      </c>
      <c r="J12" s="16">
        <f t="shared" si="14"/>
        <v>592960.50000000023</v>
      </c>
      <c r="K12" s="16">
        <f t="shared" si="14"/>
        <v>622608.52500000026</v>
      </c>
      <c r="L12" s="16">
        <f t="shared" si="14"/>
        <v>653738.95125000027</v>
      </c>
      <c r="M12" s="16">
        <f t="shared" si="14"/>
        <v>686425.89881250029</v>
      </c>
      <c r="N12" s="16">
        <f t="shared" si="14"/>
        <v>720747.19375312538</v>
      </c>
      <c r="O12" s="16">
        <f t="shared" si="14"/>
        <v>756784.55344078166</v>
      </c>
      <c r="P12" s="16">
        <f t="shared" si="14"/>
        <v>794623.78111282072</v>
      </c>
      <c r="Q12" s="16">
        <f t="shared" si="14"/>
        <v>834354.97016846179</v>
      </c>
      <c r="R12" s="16">
        <f t="shared" si="14"/>
        <v>876072.71867688489</v>
      </c>
      <c r="S12" s="16">
        <f t="shared" si="14"/>
        <v>919876.35461072915</v>
      </c>
      <c r="T12" s="16">
        <f t="shared" si="14"/>
        <v>965870.1723412656</v>
      </c>
      <c r="U12" s="16">
        <f t="shared" si="2"/>
        <v>10303668.61916657</v>
      </c>
    </row>
    <row r="13" spans="1:21" ht="15.75" thickBot="1" x14ac:dyDescent="0.3">
      <c r="A13" s="17" t="s">
        <v>73</v>
      </c>
      <c r="B13" s="15">
        <f>NPV($E$119,F13:T13)</f>
        <v>10303668.61916657</v>
      </c>
      <c r="C13" s="18">
        <v>0</v>
      </c>
      <c r="D13" s="18">
        <v>0</v>
      </c>
      <c r="E13" s="19">
        <v>0</v>
      </c>
      <c r="F13" s="18">
        <f>E109</f>
        <v>405000</v>
      </c>
      <c r="G13" s="18">
        <f t="shared" ref="G13:J13" si="15">F109</f>
        <v>445500</v>
      </c>
      <c r="H13" s="18">
        <f t="shared" si="15"/>
        <v>490050.00000000012</v>
      </c>
      <c r="I13" s="18">
        <f t="shared" si="15"/>
        <v>539055.00000000023</v>
      </c>
      <c r="J13" s="18">
        <f t="shared" si="15"/>
        <v>592960.50000000023</v>
      </c>
      <c r="K13" s="18">
        <f>J13*1.05</f>
        <v>622608.52500000026</v>
      </c>
      <c r="L13" s="18">
        <f t="shared" ref="L13:T13" si="16">K13*1.05</f>
        <v>653738.95125000027</v>
      </c>
      <c r="M13" s="18">
        <f t="shared" si="16"/>
        <v>686425.89881250029</v>
      </c>
      <c r="N13" s="18">
        <f t="shared" si="16"/>
        <v>720747.19375312538</v>
      </c>
      <c r="O13" s="18">
        <f t="shared" si="16"/>
        <v>756784.55344078166</v>
      </c>
      <c r="P13" s="18">
        <f t="shared" si="16"/>
        <v>794623.78111282072</v>
      </c>
      <c r="Q13" s="18">
        <f t="shared" si="16"/>
        <v>834354.97016846179</v>
      </c>
      <c r="R13" s="18">
        <f t="shared" si="16"/>
        <v>876072.71867688489</v>
      </c>
      <c r="S13" s="18">
        <f t="shared" si="16"/>
        <v>919876.35461072915</v>
      </c>
      <c r="T13" s="18">
        <f t="shared" si="16"/>
        <v>965870.1723412656</v>
      </c>
      <c r="U13" s="16">
        <f t="shared" si="2"/>
        <v>10303668.61916657</v>
      </c>
    </row>
    <row r="14" spans="1:21" ht="15.75" thickBot="1" x14ac:dyDescent="0.3">
      <c r="A14" s="14" t="s">
        <v>74</v>
      </c>
      <c r="B14" s="15">
        <f>NPV($E$119,F14:T14)</f>
        <v>612464327.73130763</v>
      </c>
      <c r="C14" s="16">
        <v>0</v>
      </c>
      <c r="D14" s="16">
        <v>0</v>
      </c>
      <c r="E14" s="20">
        <v>0</v>
      </c>
      <c r="F14" s="16">
        <f>F3+F8+F12</f>
        <v>24108661.849999994</v>
      </c>
      <c r="G14" s="16">
        <f t="shared" ref="G14:T14" si="17">G3+G8+G12</f>
        <v>26504528.034999996</v>
      </c>
      <c r="H14" s="16">
        <f t="shared" si="17"/>
        <v>29337210.838499997</v>
      </c>
      <c r="I14" s="16">
        <f t="shared" si="17"/>
        <v>32038978.922350004</v>
      </c>
      <c r="J14" s="16">
        <f t="shared" si="17"/>
        <v>35227876.814585</v>
      </c>
      <c r="K14" s="16">
        <f t="shared" si="17"/>
        <v>36989270.655314252</v>
      </c>
      <c r="L14" s="16">
        <f t="shared" si="17"/>
        <v>38838734.188079968</v>
      </c>
      <c r="M14" s="16">
        <f t="shared" si="17"/>
        <v>40780670.897483967</v>
      </c>
      <c r="N14" s="16">
        <f t="shared" si="17"/>
        <v>42819704.442358166</v>
      </c>
      <c r="O14" s="16">
        <f t="shared" si="17"/>
        <v>44960689.664476082</v>
      </c>
      <c r="P14" s="16">
        <f t="shared" si="17"/>
        <v>47208724.147699885</v>
      </c>
      <c r="Q14" s="16">
        <f t="shared" si="17"/>
        <v>49569160.355084881</v>
      </c>
      <c r="R14" s="16">
        <f t="shared" si="17"/>
        <v>52047618.37283913</v>
      </c>
      <c r="S14" s="16">
        <f t="shared" si="17"/>
        <v>54649999.291481085</v>
      </c>
      <c r="T14" s="16">
        <f t="shared" si="17"/>
        <v>57382499.256055146</v>
      </c>
      <c r="U14" s="16">
        <f t="shared" si="2"/>
        <v>612464327.73130763</v>
      </c>
    </row>
    <row r="16" spans="1:21" x14ac:dyDescent="0.25">
      <c r="A16" t="s">
        <v>75</v>
      </c>
    </row>
    <row r="17" spans="1:15" x14ac:dyDescent="0.25">
      <c r="A17" t="s">
        <v>76</v>
      </c>
    </row>
    <row r="18" spans="1:15" x14ac:dyDescent="0.25">
      <c r="A18" t="s">
        <v>77</v>
      </c>
    </row>
    <row r="19" spans="1:15" x14ac:dyDescent="0.25">
      <c r="A19" t="s">
        <v>78</v>
      </c>
    </row>
    <row r="20" spans="1:15" x14ac:dyDescent="0.25">
      <c r="A20" s="21" t="s">
        <v>79</v>
      </c>
      <c r="B20" s="22"/>
    </row>
    <row r="21" spans="1:15" x14ac:dyDescent="0.25">
      <c r="A21" s="22"/>
      <c r="B21" s="22"/>
    </row>
    <row r="22" spans="1:15" x14ac:dyDescent="0.25">
      <c r="A22" s="22"/>
      <c r="B22" s="22"/>
    </row>
    <row r="23" spans="1:15" ht="15.75" thickBot="1" x14ac:dyDescent="0.3">
      <c r="A23" s="23" t="s">
        <v>80</v>
      </c>
      <c r="B23" s="23" t="s">
        <v>81</v>
      </c>
      <c r="C23" s="23" t="s">
        <v>82</v>
      </c>
      <c r="D23" s="23" t="s">
        <v>83</v>
      </c>
      <c r="E23" s="23" t="s">
        <v>84</v>
      </c>
      <c r="F23" s="23" t="s">
        <v>85</v>
      </c>
      <c r="G23" s="23" t="s">
        <v>86</v>
      </c>
      <c r="H23" s="23" t="s">
        <v>87</v>
      </c>
      <c r="I23" s="23" t="s">
        <v>88</v>
      </c>
    </row>
    <row r="24" spans="1:15" x14ac:dyDescent="0.25">
      <c r="A24" s="24" t="s">
        <v>89</v>
      </c>
      <c r="B24" s="25" t="s">
        <v>90</v>
      </c>
      <c r="C24" s="26">
        <v>21300</v>
      </c>
      <c r="D24" s="27">
        <v>60</v>
      </c>
      <c r="E24" s="26">
        <f>C24*D24</f>
        <v>1278000</v>
      </c>
      <c r="F24" s="26">
        <f>E24*1.1</f>
        <v>1405800</v>
      </c>
      <c r="G24" s="26">
        <f>F24*1.1</f>
        <v>1546380.0000000002</v>
      </c>
      <c r="H24" s="26">
        <f>G24*1.1</f>
        <v>1701018.0000000005</v>
      </c>
      <c r="I24" s="28">
        <f>H24*1.1</f>
        <v>1871119.8000000007</v>
      </c>
      <c r="K24" t="s">
        <v>91</v>
      </c>
      <c r="L24" t="s">
        <v>92</v>
      </c>
      <c r="M24" t="s">
        <v>93</v>
      </c>
    </row>
    <row r="25" spans="1:15" x14ac:dyDescent="0.25">
      <c r="A25" s="29" t="s">
        <v>94</v>
      </c>
      <c r="B25" s="30" t="s">
        <v>90</v>
      </c>
      <c r="C25" s="31">
        <v>4030</v>
      </c>
      <c r="D25" s="32">
        <v>110</v>
      </c>
      <c r="E25" s="31">
        <f t="shared" ref="E25:E33" si="18">C25*D25</f>
        <v>443300</v>
      </c>
      <c r="F25" s="31">
        <f>E25*1.1</f>
        <v>487630.00000000006</v>
      </c>
      <c r="G25" s="31">
        <f t="shared" ref="G25:I36" si="19">F25*1.1</f>
        <v>536393.00000000012</v>
      </c>
      <c r="H25" s="31">
        <f t="shared" si="19"/>
        <v>590032.30000000016</v>
      </c>
      <c r="I25" s="33">
        <f t="shared" si="19"/>
        <v>649035.53000000026</v>
      </c>
      <c r="K25">
        <v>93.87</v>
      </c>
      <c r="L25">
        <v>9.8000000000000007</v>
      </c>
      <c r="M25">
        <v>6.3</v>
      </c>
    </row>
    <row r="26" spans="1:15" x14ac:dyDescent="0.25">
      <c r="A26" s="29" t="s">
        <v>95</v>
      </c>
      <c r="B26" s="30" t="s">
        <v>90</v>
      </c>
      <c r="C26" s="31">
        <v>1900</v>
      </c>
      <c r="D26" s="34">
        <f>D25</f>
        <v>110</v>
      </c>
      <c r="E26" s="31">
        <f t="shared" si="18"/>
        <v>209000</v>
      </c>
      <c r="F26" s="31">
        <f>E26*1.1</f>
        <v>229900.00000000003</v>
      </c>
      <c r="G26" s="31">
        <f t="shared" si="19"/>
        <v>252890.00000000006</v>
      </c>
      <c r="H26" s="31">
        <f t="shared" si="19"/>
        <v>278179.00000000006</v>
      </c>
      <c r="I26" s="33">
        <f t="shared" si="19"/>
        <v>305996.90000000008</v>
      </c>
      <c r="K26" s="31"/>
      <c r="N26" s="35"/>
    </row>
    <row r="27" spans="1:15" ht="17.25" x14ac:dyDescent="0.25">
      <c r="A27" s="29" t="s">
        <v>96</v>
      </c>
      <c r="B27" s="30" t="s">
        <v>97</v>
      </c>
      <c r="C27" s="31">
        <v>1478</v>
      </c>
      <c r="D27" s="32">
        <f>K27</f>
        <v>240.3</v>
      </c>
      <c r="E27" s="31">
        <f>C27*D27+(M27*12)</f>
        <v>357971.4</v>
      </c>
      <c r="F27" s="31">
        <f>E27*1.1</f>
        <v>393768.54000000004</v>
      </c>
      <c r="G27" s="31">
        <f t="shared" si="19"/>
        <v>433145.39400000009</v>
      </c>
      <c r="H27" s="31">
        <f t="shared" si="19"/>
        <v>476459.93340000015</v>
      </c>
      <c r="I27" s="33">
        <f t="shared" si="19"/>
        <v>524105.9267400002</v>
      </c>
      <c r="K27">
        <v>240.3</v>
      </c>
      <c r="M27">
        <v>234</v>
      </c>
      <c r="N27" s="35">
        <f>SUM(K27:M27)</f>
        <v>474.3</v>
      </c>
      <c r="O27">
        <f t="shared" ref="O27" si="20">N27*1.27</f>
        <v>602.36099999999999</v>
      </c>
    </row>
    <row r="28" spans="1:15" ht="18" thickBot="1" x14ac:dyDescent="0.3">
      <c r="A28" s="36" t="s">
        <v>98</v>
      </c>
      <c r="B28" s="37" t="s">
        <v>97</v>
      </c>
      <c r="C28" s="38">
        <v>1295</v>
      </c>
      <c r="D28" s="39">
        <f>K28+L28</f>
        <v>175.5</v>
      </c>
      <c r="E28" s="38">
        <f>C28*D28+(12*180)</f>
        <v>229432.5</v>
      </c>
      <c r="F28" s="38">
        <f>E28*1.1</f>
        <v>252375.75000000003</v>
      </c>
      <c r="G28" s="38">
        <f t="shared" si="19"/>
        <v>277613.32500000007</v>
      </c>
      <c r="H28" s="38">
        <f t="shared" si="19"/>
        <v>305374.65750000009</v>
      </c>
      <c r="I28" s="40">
        <f t="shared" si="19"/>
        <v>335912.12325000012</v>
      </c>
      <c r="K28" s="35">
        <v>162.9</v>
      </c>
      <c r="L28" s="35">
        <v>12.6</v>
      </c>
      <c r="M28" s="35">
        <v>180</v>
      </c>
      <c r="N28" s="35">
        <f>SUM(K28:M28)</f>
        <v>355.5</v>
      </c>
      <c r="O28">
        <f>N28*1.27</f>
        <v>451.48500000000001</v>
      </c>
    </row>
    <row r="29" spans="1:15" x14ac:dyDescent="0.25">
      <c r="A29" s="41" t="s">
        <v>99</v>
      </c>
      <c r="B29" s="42" t="s">
        <v>90</v>
      </c>
      <c r="C29" s="43">
        <v>12000</v>
      </c>
      <c r="D29" s="44">
        <f>D24</f>
        <v>60</v>
      </c>
      <c r="E29" s="43">
        <f t="shared" si="18"/>
        <v>720000</v>
      </c>
      <c r="F29" s="45">
        <f t="shared" ref="F29:F36" si="21">E29*1.1</f>
        <v>792000.00000000012</v>
      </c>
      <c r="G29" s="43">
        <f t="shared" si="19"/>
        <v>871200.00000000023</v>
      </c>
      <c r="H29" s="43">
        <f t="shared" si="19"/>
        <v>958320.00000000035</v>
      </c>
      <c r="I29" s="46">
        <f t="shared" si="19"/>
        <v>1054152.0000000005</v>
      </c>
      <c r="K29" s="35"/>
      <c r="L29" s="35"/>
      <c r="M29" s="35"/>
      <c r="N29" s="35"/>
    </row>
    <row r="30" spans="1:15" x14ac:dyDescent="0.25">
      <c r="A30" s="47" t="s">
        <v>100</v>
      </c>
      <c r="B30" s="48" t="s">
        <v>90</v>
      </c>
      <c r="C30" s="45">
        <v>2500</v>
      </c>
      <c r="D30" s="49">
        <f>D25</f>
        <v>110</v>
      </c>
      <c r="E30" s="45">
        <f t="shared" si="18"/>
        <v>275000</v>
      </c>
      <c r="F30" s="45">
        <f t="shared" si="21"/>
        <v>302500</v>
      </c>
      <c r="G30" s="45">
        <f t="shared" si="19"/>
        <v>332750</v>
      </c>
      <c r="H30" s="45">
        <f t="shared" si="19"/>
        <v>366025.00000000006</v>
      </c>
      <c r="I30" s="50">
        <f t="shared" si="19"/>
        <v>402627.50000000012</v>
      </c>
      <c r="K30" s="35"/>
      <c r="L30" s="35"/>
      <c r="M30" s="35"/>
      <c r="N30" s="35"/>
    </row>
    <row r="31" spans="1:15" x14ac:dyDescent="0.25">
      <c r="A31" s="47" t="s">
        <v>101</v>
      </c>
      <c r="B31" s="48" t="s">
        <v>90</v>
      </c>
      <c r="C31" s="45">
        <v>1900</v>
      </c>
      <c r="D31" s="49">
        <f>D25</f>
        <v>110</v>
      </c>
      <c r="E31" s="45">
        <f t="shared" si="18"/>
        <v>209000</v>
      </c>
      <c r="F31" s="45">
        <f t="shared" si="21"/>
        <v>229900.00000000003</v>
      </c>
      <c r="G31" s="45">
        <f t="shared" si="19"/>
        <v>252890.00000000006</v>
      </c>
      <c r="H31" s="45">
        <f t="shared" si="19"/>
        <v>278179.00000000006</v>
      </c>
      <c r="I31" s="50">
        <f t="shared" si="19"/>
        <v>305996.90000000008</v>
      </c>
    </row>
    <row r="32" spans="1:15" ht="17.25" x14ac:dyDescent="0.25">
      <c r="A32" s="47" t="s">
        <v>102</v>
      </c>
      <c r="B32" s="48" t="s">
        <v>97</v>
      </c>
      <c r="C32" s="51">
        <v>800</v>
      </c>
      <c r="D32" s="52">
        <f>D27</f>
        <v>240.3</v>
      </c>
      <c r="E32" s="45">
        <f t="shared" si="18"/>
        <v>192240</v>
      </c>
      <c r="F32" s="45">
        <f t="shared" si="21"/>
        <v>211464.00000000003</v>
      </c>
      <c r="G32" s="45">
        <f t="shared" si="19"/>
        <v>232610.40000000005</v>
      </c>
      <c r="H32" s="45">
        <f t="shared" si="19"/>
        <v>255871.44000000009</v>
      </c>
      <c r="I32" s="50">
        <f t="shared" si="19"/>
        <v>281458.58400000015</v>
      </c>
    </row>
    <row r="33" spans="1:9" ht="18" thickBot="1" x14ac:dyDescent="0.3">
      <c r="A33" s="53" t="s">
        <v>103</v>
      </c>
      <c r="B33" s="54" t="s">
        <v>97</v>
      </c>
      <c r="C33" s="55">
        <v>700</v>
      </c>
      <c r="D33" s="56">
        <f>D28</f>
        <v>175.5</v>
      </c>
      <c r="E33" s="57">
        <f t="shared" si="18"/>
        <v>122850</v>
      </c>
      <c r="F33" s="57">
        <f t="shared" si="21"/>
        <v>135135</v>
      </c>
      <c r="G33" s="57">
        <f t="shared" si="19"/>
        <v>148648.5</v>
      </c>
      <c r="H33" s="57">
        <f t="shared" si="19"/>
        <v>163513.35</v>
      </c>
      <c r="I33" s="58">
        <f t="shared" si="19"/>
        <v>179864.68500000003</v>
      </c>
    </row>
    <row r="34" spans="1:9" x14ac:dyDescent="0.25">
      <c r="A34" s="59" t="s">
        <v>104</v>
      </c>
      <c r="B34" s="60" t="s">
        <v>105</v>
      </c>
      <c r="C34" s="61">
        <v>2</v>
      </c>
      <c r="D34" s="61">
        <v>300000</v>
      </c>
      <c r="E34" s="61">
        <f>D34*C34</f>
        <v>600000</v>
      </c>
      <c r="F34" s="61">
        <f t="shared" si="21"/>
        <v>660000</v>
      </c>
      <c r="G34" s="61">
        <f t="shared" si="19"/>
        <v>726000.00000000012</v>
      </c>
      <c r="H34" s="61">
        <f t="shared" si="19"/>
        <v>798600.00000000023</v>
      </c>
      <c r="I34" s="61">
        <f t="shared" si="19"/>
        <v>878460.00000000035</v>
      </c>
    </row>
    <row r="35" spans="1:9" x14ac:dyDescent="0.25">
      <c r="A35" s="62" t="s">
        <v>106</v>
      </c>
      <c r="B35" s="63" t="s">
        <v>105</v>
      </c>
      <c r="C35" s="64">
        <v>26</v>
      </c>
      <c r="D35" s="64">
        <v>50000</v>
      </c>
      <c r="E35" s="64">
        <f>C35*D35</f>
        <v>1300000</v>
      </c>
      <c r="F35" s="64">
        <f t="shared" si="21"/>
        <v>1430000</v>
      </c>
      <c r="G35" s="64">
        <f t="shared" si="19"/>
        <v>1573000.0000000002</v>
      </c>
      <c r="H35" s="64">
        <f t="shared" si="19"/>
        <v>1730300.0000000005</v>
      </c>
      <c r="I35" s="64">
        <f t="shared" si="19"/>
        <v>1903330.0000000007</v>
      </c>
    </row>
    <row r="36" spans="1:9" x14ac:dyDescent="0.25">
      <c r="A36" s="65" t="s">
        <v>107</v>
      </c>
      <c r="B36" s="66" t="s">
        <v>108</v>
      </c>
      <c r="C36" s="67">
        <v>1</v>
      </c>
      <c r="D36" s="67">
        <v>200000</v>
      </c>
      <c r="E36" s="67">
        <f>C36*D36</f>
        <v>200000</v>
      </c>
      <c r="F36" s="67">
        <f t="shared" si="21"/>
        <v>220000.00000000003</v>
      </c>
      <c r="G36" s="67">
        <f t="shared" si="19"/>
        <v>242000.00000000006</v>
      </c>
      <c r="H36" s="67">
        <f t="shared" si="19"/>
        <v>266200.00000000006</v>
      </c>
      <c r="I36" s="67">
        <f t="shared" si="19"/>
        <v>292820.00000000012</v>
      </c>
    </row>
    <row r="37" spans="1:9" x14ac:dyDescent="0.25">
      <c r="A37" s="22"/>
      <c r="B37" s="22"/>
      <c r="C37" s="31"/>
      <c r="D37" s="34"/>
      <c r="E37" s="68">
        <f>SUM(E24:E28)</f>
        <v>2517703.9</v>
      </c>
      <c r="F37" s="68">
        <f t="shared" ref="F37:I37" si="22">SUM(F24:F28)</f>
        <v>2769474.29</v>
      </c>
      <c r="G37" s="68">
        <f t="shared" si="22"/>
        <v>3046421.7190000005</v>
      </c>
      <c r="H37" s="68">
        <f t="shared" si="22"/>
        <v>3351063.8909000009</v>
      </c>
      <c r="I37" s="68">
        <f t="shared" si="22"/>
        <v>3686170.2799900011</v>
      </c>
    </row>
    <row r="38" spans="1:9" x14ac:dyDescent="0.25">
      <c r="A38" s="22"/>
      <c r="B38" s="22"/>
      <c r="C38" s="31"/>
      <c r="D38" s="34"/>
      <c r="E38" s="31"/>
      <c r="F38" s="31"/>
      <c r="G38" s="31"/>
      <c r="H38" s="31"/>
      <c r="I38" s="31"/>
    </row>
    <row r="39" spans="1:9" x14ac:dyDescent="0.25">
      <c r="C39" s="31"/>
      <c r="D39" s="34"/>
      <c r="E39" s="31"/>
      <c r="F39" s="31"/>
      <c r="G39" s="31"/>
      <c r="H39" s="31"/>
      <c r="I39" s="31"/>
    </row>
    <row r="40" spans="1:9" ht="15.75" thickBot="1" x14ac:dyDescent="0.3">
      <c r="A40" s="23" t="s">
        <v>109</v>
      </c>
      <c r="B40" s="23" t="s">
        <v>81</v>
      </c>
      <c r="C40" s="23" t="s">
        <v>82</v>
      </c>
      <c r="D40" s="69" t="s">
        <v>83</v>
      </c>
      <c r="E40" s="23" t="s">
        <v>84</v>
      </c>
      <c r="F40" s="23" t="s">
        <v>85</v>
      </c>
      <c r="G40" s="23" t="s">
        <v>86</v>
      </c>
      <c r="H40" s="23" t="s">
        <v>87</v>
      </c>
      <c r="I40" s="23" t="s">
        <v>88</v>
      </c>
    </row>
    <row r="41" spans="1:9" x14ac:dyDescent="0.25">
      <c r="A41" s="24" t="s">
        <v>89</v>
      </c>
      <c r="B41" s="25" t="s">
        <v>90</v>
      </c>
      <c r="C41" s="26">
        <v>29670</v>
      </c>
      <c r="D41" s="70">
        <f>D24</f>
        <v>60</v>
      </c>
      <c r="E41" s="26">
        <f>C41*D41</f>
        <v>1780200</v>
      </c>
      <c r="F41" s="26">
        <f>E41*1.1</f>
        <v>1958220.0000000002</v>
      </c>
      <c r="G41" s="26">
        <f>F41*1.1</f>
        <v>2154042.0000000005</v>
      </c>
      <c r="H41" s="26">
        <f>G41*1.1</f>
        <v>2369446.2000000007</v>
      </c>
      <c r="I41" s="28">
        <f>H41*1.1</f>
        <v>2606390.8200000008</v>
      </c>
    </row>
    <row r="42" spans="1:9" x14ac:dyDescent="0.25">
      <c r="A42" s="29" t="s">
        <v>94</v>
      </c>
      <c r="B42" s="30" t="s">
        <v>90</v>
      </c>
      <c r="C42">
        <v>4100</v>
      </c>
      <c r="D42" s="34">
        <f>D25</f>
        <v>110</v>
      </c>
      <c r="E42" s="31">
        <f t="shared" ref="E42:E50" si="23">C42*D42</f>
        <v>451000</v>
      </c>
      <c r="F42" s="31">
        <f t="shared" ref="F42:I53" si="24">E42*1.1</f>
        <v>496100.00000000006</v>
      </c>
      <c r="G42" s="31">
        <f t="shared" si="24"/>
        <v>545710.00000000012</v>
      </c>
      <c r="H42" s="31">
        <f t="shared" si="24"/>
        <v>600281.00000000023</v>
      </c>
      <c r="I42" s="33">
        <f t="shared" si="24"/>
        <v>660309.10000000033</v>
      </c>
    </row>
    <row r="43" spans="1:9" x14ac:dyDescent="0.25">
      <c r="A43" s="29" t="s">
        <v>95</v>
      </c>
      <c r="B43" s="30" t="s">
        <v>90</v>
      </c>
      <c r="C43" s="31">
        <v>2500</v>
      </c>
      <c r="D43" s="34">
        <f>D42</f>
        <v>110</v>
      </c>
      <c r="E43" s="31">
        <f t="shared" si="23"/>
        <v>275000</v>
      </c>
      <c r="F43" s="31">
        <f t="shared" si="24"/>
        <v>302500</v>
      </c>
      <c r="G43" s="31">
        <f t="shared" si="24"/>
        <v>332750</v>
      </c>
      <c r="H43" s="31">
        <f t="shared" si="24"/>
        <v>366025.00000000006</v>
      </c>
      <c r="I43" s="33">
        <f t="shared" si="24"/>
        <v>402627.50000000012</v>
      </c>
    </row>
    <row r="44" spans="1:9" ht="17.25" x14ac:dyDescent="0.25">
      <c r="A44" s="29" t="s">
        <v>96</v>
      </c>
      <c r="B44" s="30" t="s">
        <v>97</v>
      </c>
      <c r="C44" s="31">
        <v>1500</v>
      </c>
      <c r="D44" s="34">
        <f>D27</f>
        <v>240.3</v>
      </c>
      <c r="E44" s="31">
        <f t="shared" si="23"/>
        <v>360450</v>
      </c>
      <c r="F44" s="31">
        <f t="shared" si="24"/>
        <v>396495.00000000006</v>
      </c>
      <c r="G44" s="31">
        <f t="shared" si="24"/>
        <v>436144.50000000012</v>
      </c>
      <c r="H44" s="31">
        <f t="shared" si="24"/>
        <v>479758.95000000019</v>
      </c>
      <c r="I44" s="33">
        <f t="shared" si="24"/>
        <v>527734.8450000002</v>
      </c>
    </row>
    <row r="45" spans="1:9" ht="18" thickBot="1" x14ac:dyDescent="0.3">
      <c r="A45" s="36" t="s">
        <v>98</v>
      </c>
      <c r="B45" s="37" t="s">
        <v>97</v>
      </c>
      <c r="C45" s="38">
        <v>1131</v>
      </c>
      <c r="D45" s="71">
        <f>D28</f>
        <v>175.5</v>
      </c>
      <c r="E45" s="38">
        <f t="shared" si="23"/>
        <v>198490.5</v>
      </c>
      <c r="F45" s="31">
        <f t="shared" si="24"/>
        <v>218339.55000000002</v>
      </c>
      <c r="G45" s="38">
        <f t="shared" si="24"/>
        <v>240173.50500000003</v>
      </c>
      <c r="H45" s="38">
        <f t="shared" si="24"/>
        <v>264190.85550000006</v>
      </c>
      <c r="I45" s="40">
        <f t="shared" si="24"/>
        <v>290609.94105000008</v>
      </c>
    </row>
    <row r="46" spans="1:9" x14ac:dyDescent="0.25">
      <c r="A46" s="41" t="s">
        <v>99</v>
      </c>
      <c r="B46" s="42" t="s">
        <v>90</v>
      </c>
      <c r="C46" s="43">
        <v>16000</v>
      </c>
      <c r="D46" s="44">
        <f>D24</f>
        <v>60</v>
      </c>
      <c r="E46" s="43">
        <f t="shared" si="23"/>
        <v>960000</v>
      </c>
      <c r="F46" s="43">
        <f t="shared" ref="F46:F50" si="25">C46*D46*1.1</f>
        <v>1056000</v>
      </c>
      <c r="G46" s="43">
        <f t="shared" si="24"/>
        <v>1161600</v>
      </c>
      <c r="H46" s="43">
        <f t="shared" si="24"/>
        <v>1277760</v>
      </c>
      <c r="I46" s="46">
        <f t="shared" si="24"/>
        <v>1405536</v>
      </c>
    </row>
    <row r="47" spans="1:9" x14ac:dyDescent="0.25">
      <c r="A47" s="47" t="s">
        <v>100</v>
      </c>
      <c r="B47" s="48" t="s">
        <v>90</v>
      </c>
      <c r="C47" s="45">
        <v>2500</v>
      </c>
      <c r="D47" s="49">
        <f>D25</f>
        <v>110</v>
      </c>
      <c r="E47" s="45">
        <f t="shared" si="23"/>
        <v>275000</v>
      </c>
      <c r="F47" s="45">
        <f t="shared" si="25"/>
        <v>302500</v>
      </c>
      <c r="G47" s="45">
        <f t="shared" si="24"/>
        <v>332750</v>
      </c>
      <c r="H47" s="45">
        <f t="shared" si="24"/>
        <v>366025.00000000006</v>
      </c>
      <c r="I47" s="50">
        <f t="shared" si="24"/>
        <v>402627.50000000012</v>
      </c>
    </row>
    <row r="48" spans="1:9" x14ac:dyDescent="0.25">
      <c r="A48" s="47" t="s">
        <v>101</v>
      </c>
      <c r="B48" s="48" t="s">
        <v>90</v>
      </c>
      <c r="C48" s="45">
        <v>1600</v>
      </c>
      <c r="D48" s="49">
        <f>D47</f>
        <v>110</v>
      </c>
      <c r="E48" s="45">
        <f t="shared" si="23"/>
        <v>176000</v>
      </c>
      <c r="F48" s="45">
        <f t="shared" si="25"/>
        <v>193600.00000000003</v>
      </c>
      <c r="G48" s="45">
        <f t="shared" si="24"/>
        <v>212960.00000000006</v>
      </c>
      <c r="H48" s="45">
        <f t="shared" si="24"/>
        <v>234256.00000000009</v>
      </c>
      <c r="I48" s="50">
        <f t="shared" si="24"/>
        <v>257681.60000000012</v>
      </c>
    </row>
    <row r="49" spans="1:9" ht="17.25" x14ac:dyDescent="0.25">
      <c r="A49" s="47" t="s">
        <v>102</v>
      </c>
      <c r="B49" s="48" t="s">
        <v>97</v>
      </c>
      <c r="C49" s="51">
        <v>600</v>
      </c>
      <c r="D49" s="52">
        <f>D27</f>
        <v>240.3</v>
      </c>
      <c r="E49" s="45">
        <f t="shared" si="23"/>
        <v>144180</v>
      </c>
      <c r="F49" s="45">
        <f t="shared" si="25"/>
        <v>158598</v>
      </c>
      <c r="G49" s="45">
        <f t="shared" si="24"/>
        <v>174457.80000000002</v>
      </c>
      <c r="H49" s="45">
        <f t="shared" si="24"/>
        <v>191903.58000000005</v>
      </c>
      <c r="I49" s="50">
        <f t="shared" si="24"/>
        <v>211093.93800000005</v>
      </c>
    </row>
    <row r="50" spans="1:9" ht="18" thickBot="1" x14ac:dyDescent="0.3">
      <c r="A50" s="53" t="s">
        <v>103</v>
      </c>
      <c r="B50" s="54" t="s">
        <v>97</v>
      </c>
      <c r="C50" s="55">
        <v>500</v>
      </c>
      <c r="D50" s="56">
        <f>D28</f>
        <v>175.5</v>
      </c>
      <c r="E50" s="57">
        <f t="shared" si="23"/>
        <v>87750</v>
      </c>
      <c r="F50" s="57">
        <f t="shared" si="25"/>
        <v>96525.000000000015</v>
      </c>
      <c r="G50" s="57">
        <f t="shared" si="24"/>
        <v>106177.50000000003</v>
      </c>
      <c r="H50" s="57">
        <f t="shared" si="24"/>
        <v>116795.25000000004</v>
      </c>
      <c r="I50" s="58">
        <f t="shared" si="24"/>
        <v>128474.77500000005</v>
      </c>
    </row>
    <row r="51" spans="1:9" x14ac:dyDescent="0.25">
      <c r="A51" s="59" t="s">
        <v>104</v>
      </c>
      <c r="B51" s="60" t="s">
        <v>105</v>
      </c>
      <c r="C51" s="61">
        <v>2</v>
      </c>
      <c r="D51" s="61">
        <v>150000</v>
      </c>
      <c r="E51" s="61">
        <f>C51*D51</f>
        <v>300000</v>
      </c>
      <c r="F51" s="61">
        <f>E51*1.1</f>
        <v>330000</v>
      </c>
      <c r="G51" s="61">
        <f t="shared" si="24"/>
        <v>363000.00000000006</v>
      </c>
      <c r="H51" s="61">
        <f t="shared" si="24"/>
        <v>399300.00000000012</v>
      </c>
      <c r="I51" s="61">
        <f t="shared" si="24"/>
        <v>439230.00000000017</v>
      </c>
    </row>
    <row r="52" spans="1:9" x14ac:dyDescent="0.25">
      <c r="A52" s="62" t="s">
        <v>110</v>
      </c>
      <c r="B52" s="63" t="s">
        <v>105</v>
      </c>
      <c r="C52" s="64">
        <v>26</v>
      </c>
      <c r="D52" s="64">
        <v>30000</v>
      </c>
      <c r="E52" s="64">
        <f>C52*D52</f>
        <v>780000</v>
      </c>
      <c r="F52" s="64">
        <f>E52*1.1</f>
        <v>858000.00000000012</v>
      </c>
      <c r="G52" s="64">
        <f t="shared" si="24"/>
        <v>943800.00000000023</v>
      </c>
      <c r="H52" s="64">
        <f t="shared" si="24"/>
        <v>1038180.0000000003</v>
      </c>
      <c r="I52" s="64">
        <f t="shared" si="24"/>
        <v>1141998.0000000005</v>
      </c>
    </row>
    <row r="53" spans="1:9" x14ac:dyDescent="0.25">
      <c r="A53" s="65" t="s">
        <v>107</v>
      </c>
      <c r="B53" s="66" t="s">
        <v>108</v>
      </c>
      <c r="C53" s="67">
        <v>1</v>
      </c>
      <c r="D53" s="67">
        <v>150000</v>
      </c>
      <c r="E53" s="67">
        <f>C53*D53</f>
        <v>150000</v>
      </c>
      <c r="F53" s="67">
        <f>E53*1.1</f>
        <v>165000</v>
      </c>
      <c r="G53" s="67">
        <f t="shared" si="24"/>
        <v>181500.00000000003</v>
      </c>
      <c r="H53" s="67">
        <f t="shared" si="24"/>
        <v>199650.00000000006</v>
      </c>
      <c r="I53" s="67">
        <f t="shared" si="24"/>
        <v>219615.00000000009</v>
      </c>
    </row>
    <row r="54" spans="1:9" x14ac:dyDescent="0.25">
      <c r="C54" s="31"/>
      <c r="D54" s="31"/>
      <c r="E54" s="31"/>
      <c r="F54" s="31"/>
      <c r="G54" s="31"/>
      <c r="H54" s="31"/>
      <c r="I54" s="31"/>
    </row>
    <row r="55" spans="1:9" x14ac:dyDescent="0.25">
      <c r="D55" s="34"/>
    </row>
    <row r="56" spans="1:9" ht="15.75" thickBot="1" x14ac:dyDescent="0.3">
      <c r="A56" s="23" t="s">
        <v>111</v>
      </c>
      <c r="B56" s="23" t="s">
        <v>81</v>
      </c>
      <c r="C56" s="23" t="s">
        <v>82</v>
      </c>
      <c r="D56" s="69" t="s">
        <v>83</v>
      </c>
      <c r="E56" s="23" t="s">
        <v>84</v>
      </c>
      <c r="F56" s="23" t="s">
        <v>85</v>
      </c>
      <c r="G56" s="23" t="s">
        <v>86</v>
      </c>
      <c r="H56" s="23" t="s">
        <v>87</v>
      </c>
      <c r="I56" s="23" t="s">
        <v>88</v>
      </c>
    </row>
    <row r="57" spans="1:9" x14ac:dyDescent="0.25">
      <c r="A57" s="24" t="s">
        <v>89</v>
      </c>
      <c r="B57" s="25" t="s">
        <v>90</v>
      </c>
      <c r="C57" s="26">
        <v>8180</v>
      </c>
      <c r="D57" s="70">
        <f>D24</f>
        <v>60</v>
      </c>
      <c r="E57" s="26">
        <f>C57*D57</f>
        <v>490800</v>
      </c>
      <c r="F57" s="26">
        <f>C57*D57*1.1</f>
        <v>539880</v>
      </c>
      <c r="G57" s="26">
        <f>F57*1.1</f>
        <v>593868</v>
      </c>
      <c r="H57" s="26">
        <f>G57*1.1</f>
        <v>653254.80000000005</v>
      </c>
      <c r="I57" s="28">
        <f>H57*1.1</f>
        <v>718580.28000000014</v>
      </c>
    </row>
    <row r="58" spans="1:9" x14ac:dyDescent="0.25">
      <c r="A58" s="29" t="s">
        <v>94</v>
      </c>
      <c r="B58" s="30" t="s">
        <v>90</v>
      </c>
      <c r="C58">
        <v>1660</v>
      </c>
      <c r="D58" s="34">
        <f>D25</f>
        <v>110</v>
      </c>
      <c r="E58" s="31">
        <f t="shared" ref="E58:E66" si="26">C58*D58</f>
        <v>182600</v>
      </c>
      <c r="F58" s="31">
        <f t="shared" ref="F58:F66" si="27">C58*D58*1.1</f>
        <v>200860.00000000003</v>
      </c>
      <c r="G58" s="31">
        <f t="shared" ref="G58:I68" si="28">F58*1.1</f>
        <v>220946.00000000006</v>
      </c>
      <c r="H58" s="31">
        <f t="shared" si="28"/>
        <v>243040.60000000009</v>
      </c>
      <c r="I58" s="33">
        <f t="shared" si="28"/>
        <v>267344.66000000015</v>
      </c>
    </row>
    <row r="59" spans="1:9" x14ac:dyDescent="0.25">
      <c r="A59" s="29" t="s">
        <v>95</v>
      </c>
      <c r="B59" s="30" t="s">
        <v>90</v>
      </c>
      <c r="C59" s="31">
        <v>1500</v>
      </c>
      <c r="D59" s="34">
        <f>D58</f>
        <v>110</v>
      </c>
      <c r="E59" s="31">
        <f t="shared" si="26"/>
        <v>165000</v>
      </c>
      <c r="F59" s="31">
        <f t="shared" si="27"/>
        <v>181500.00000000003</v>
      </c>
      <c r="G59" s="31">
        <f t="shared" si="28"/>
        <v>199650.00000000006</v>
      </c>
      <c r="H59" s="31">
        <f t="shared" si="28"/>
        <v>219615.00000000009</v>
      </c>
      <c r="I59" s="33">
        <f t="shared" si="28"/>
        <v>241576.50000000012</v>
      </c>
    </row>
    <row r="60" spans="1:9" ht="17.25" x14ac:dyDescent="0.25">
      <c r="A60" s="29" t="s">
        <v>96</v>
      </c>
      <c r="B60" s="30" t="s">
        <v>97</v>
      </c>
      <c r="C60" s="31">
        <v>350</v>
      </c>
      <c r="D60" s="34">
        <f>D27</f>
        <v>240.3</v>
      </c>
      <c r="E60" s="31">
        <f t="shared" si="26"/>
        <v>84105</v>
      </c>
      <c r="F60" s="31">
        <f t="shared" si="27"/>
        <v>92515.500000000015</v>
      </c>
      <c r="G60" s="31">
        <f t="shared" si="28"/>
        <v>101767.05000000002</v>
      </c>
      <c r="H60" s="31">
        <f t="shared" si="28"/>
        <v>111943.75500000003</v>
      </c>
      <c r="I60" s="33">
        <f t="shared" si="28"/>
        <v>123138.13050000004</v>
      </c>
    </row>
    <row r="61" spans="1:9" ht="18" thickBot="1" x14ac:dyDescent="0.3">
      <c r="A61" s="36" t="s">
        <v>98</v>
      </c>
      <c r="B61" s="37" t="s">
        <v>97</v>
      </c>
      <c r="C61" s="38">
        <v>350</v>
      </c>
      <c r="D61" s="71">
        <f>D28</f>
        <v>175.5</v>
      </c>
      <c r="E61" s="38">
        <f t="shared" si="26"/>
        <v>61425</v>
      </c>
      <c r="F61" s="38">
        <f t="shared" si="27"/>
        <v>67567.5</v>
      </c>
      <c r="G61" s="38">
        <f t="shared" si="28"/>
        <v>74324.25</v>
      </c>
      <c r="H61" s="38">
        <f t="shared" si="28"/>
        <v>81756.675000000003</v>
      </c>
      <c r="I61" s="40">
        <f t="shared" si="28"/>
        <v>89932.342500000013</v>
      </c>
    </row>
    <row r="62" spans="1:9" x14ac:dyDescent="0.25">
      <c r="A62" s="41" t="s">
        <v>99</v>
      </c>
      <c r="B62" s="42" t="s">
        <v>90</v>
      </c>
      <c r="C62" s="43">
        <v>8180</v>
      </c>
      <c r="D62" s="44">
        <f>D24</f>
        <v>60</v>
      </c>
      <c r="E62" s="43">
        <f t="shared" si="26"/>
        <v>490800</v>
      </c>
      <c r="F62" s="43">
        <f t="shared" si="27"/>
        <v>539880</v>
      </c>
      <c r="G62" s="43">
        <f t="shared" si="28"/>
        <v>593868</v>
      </c>
      <c r="H62" s="43">
        <f t="shared" si="28"/>
        <v>653254.80000000005</v>
      </c>
      <c r="I62" s="46">
        <f t="shared" si="28"/>
        <v>718580.28000000014</v>
      </c>
    </row>
    <row r="63" spans="1:9" x14ac:dyDescent="0.25">
      <c r="A63" s="47" t="s">
        <v>100</v>
      </c>
      <c r="B63" s="48" t="s">
        <v>90</v>
      </c>
      <c r="C63" s="72">
        <v>1660</v>
      </c>
      <c r="D63" s="49">
        <f>D25</f>
        <v>110</v>
      </c>
      <c r="E63" s="45">
        <f t="shared" si="26"/>
        <v>182600</v>
      </c>
      <c r="F63" s="45">
        <f t="shared" si="27"/>
        <v>200860.00000000003</v>
      </c>
      <c r="G63" s="45">
        <f t="shared" si="28"/>
        <v>220946.00000000006</v>
      </c>
      <c r="H63" s="45">
        <f t="shared" si="28"/>
        <v>243040.60000000009</v>
      </c>
      <c r="I63" s="50">
        <f t="shared" si="28"/>
        <v>267344.66000000015</v>
      </c>
    </row>
    <row r="64" spans="1:9" x14ac:dyDescent="0.25">
      <c r="A64" s="47" t="s">
        <v>101</v>
      </c>
      <c r="B64" s="48" t="s">
        <v>90</v>
      </c>
      <c r="C64" s="45">
        <v>1500</v>
      </c>
      <c r="D64" s="49">
        <f>D63</f>
        <v>110</v>
      </c>
      <c r="E64" s="45">
        <f t="shared" si="26"/>
        <v>165000</v>
      </c>
      <c r="F64" s="45">
        <f t="shared" si="27"/>
        <v>181500.00000000003</v>
      </c>
      <c r="G64" s="45">
        <f t="shared" si="28"/>
        <v>199650.00000000006</v>
      </c>
      <c r="H64" s="45">
        <f t="shared" si="28"/>
        <v>219615.00000000009</v>
      </c>
      <c r="I64" s="50">
        <f t="shared" si="28"/>
        <v>241576.50000000012</v>
      </c>
    </row>
    <row r="65" spans="1:9" ht="17.25" x14ac:dyDescent="0.25">
      <c r="A65" s="47" t="s">
        <v>102</v>
      </c>
      <c r="B65" s="48" t="s">
        <v>97</v>
      </c>
      <c r="C65" s="51">
        <v>350</v>
      </c>
      <c r="D65" s="52">
        <f>D27</f>
        <v>240.3</v>
      </c>
      <c r="E65" s="45">
        <f t="shared" si="26"/>
        <v>84105</v>
      </c>
      <c r="F65" s="45">
        <f t="shared" si="27"/>
        <v>92515.500000000015</v>
      </c>
      <c r="G65" s="45">
        <f t="shared" si="28"/>
        <v>101767.05000000002</v>
      </c>
      <c r="H65" s="45">
        <f t="shared" si="28"/>
        <v>111943.75500000003</v>
      </c>
      <c r="I65" s="50">
        <f t="shared" si="28"/>
        <v>123138.13050000004</v>
      </c>
    </row>
    <row r="66" spans="1:9" ht="18" thickBot="1" x14ac:dyDescent="0.3">
      <c r="A66" s="53" t="s">
        <v>103</v>
      </c>
      <c r="B66" s="54" t="s">
        <v>97</v>
      </c>
      <c r="C66" s="55">
        <v>350</v>
      </c>
      <c r="D66" s="56">
        <f>D28</f>
        <v>175.5</v>
      </c>
      <c r="E66" s="57">
        <f t="shared" si="26"/>
        <v>61425</v>
      </c>
      <c r="F66" s="57">
        <f t="shared" si="27"/>
        <v>67567.5</v>
      </c>
      <c r="G66" s="57">
        <f t="shared" si="28"/>
        <v>74324.25</v>
      </c>
      <c r="H66" s="57">
        <f t="shared" si="28"/>
        <v>81756.675000000003</v>
      </c>
      <c r="I66" s="58">
        <f t="shared" si="28"/>
        <v>89932.342500000013</v>
      </c>
    </row>
    <row r="67" spans="1:9" x14ac:dyDescent="0.25">
      <c r="A67" s="59" t="s">
        <v>104</v>
      </c>
      <c r="B67" s="60" t="s">
        <v>105</v>
      </c>
      <c r="C67" s="61">
        <v>2</v>
      </c>
      <c r="D67" s="61">
        <v>100000</v>
      </c>
      <c r="E67" s="61">
        <f>C67*D67</f>
        <v>200000</v>
      </c>
      <c r="F67" s="61">
        <f>E67*1.1</f>
        <v>220000.00000000003</v>
      </c>
      <c r="G67" s="61">
        <f t="shared" si="28"/>
        <v>242000.00000000006</v>
      </c>
      <c r="H67" s="61">
        <f t="shared" si="28"/>
        <v>266200.00000000006</v>
      </c>
      <c r="I67" s="61">
        <f t="shared" si="28"/>
        <v>292820.00000000012</v>
      </c>
    </row>
    <row r="68" spans="1:9" ht="30" x14ac:dyDescent="0.25">
      <c r="A68" s="73" t="s">
        <v>112</v>
      </c>
      <c r="B68" s="63" t="s">
        <v>105</v>
      </c>
      <c r="C68" s="64">
        <v>12</v>
      </c>
      <c r="D68" s="64">
        <v>30000</v>
      </c>
      <c r="E68" s="64">
        <f>C68*D68</f>
        <v>360000</v>
      </c>
      <c r="F68" s="64">
        <f>E68*1.1</f>
        <v>396000.00000000006</v>
      </c>
      <c r="G68" s="64">
        <f t="shared" si="28"/>
        <v>435600.00000000012</v>
      </c>
      <c r="H68" s="64">
        <f t="shared" si="28"/>
        <v>479160.00000000017</v>
      </c>
      <c r="I68" s="64">
        <f t="shared" si="28"/>
        <v>527076.00000000023</v>
      </c>
    </row>
    <row r="69" spans="1:9" x14ac:dyDescent="0.25">
      <c r="A69" s="65" t="s">
        <v>107</v>
      </c>
      <c r="B69" s="66" t="s">
        <v>108</v>
      </c>
      <c r="C69" s="67">
        <v>1</v>
      </c>
      <c r="D69" s="67">
        <v>50000</v>
      </c>
      <c r="E69" s="67">
        <f>D69*1.1</f>
        <v>55000.000000000007</v>
      </c>
      <c r="F69" s="67">
        <f t="shared" ref="F69:I69" si="29">E69*1.1</f>
        <v>60500.000000000015</v>
      </c>
      <c r="G69" s="67">
        <f t="shared" si="29"/>
        <v>66550.000000000015</v>
      </c>
      <c r="H69" s="67">
        <f t="shared" si="29"/>
        <v>73205.000000000029</v>
      </c>
      <c r="I69" s="67">
        <f t="shared" si="29"/>
        <v>80525.500000000044</v>
      </c>
    </row>
    <row r="70" spans="1:9" x14ac:dyDescent="0.25">
      <c r="D70" s="31"/>
      <c r="E70" s="31"/>
      <c r="F70" s="31"/>
      <c r="G70" s="31"/>
      <c r="H70" s="31"/>
      <c r="I70" s="31"/>
    </row>
    <row r="71" spans="1:9" ht="30" x14ac:dyDescent="0.25">
      <c r="A71" s="74" t="s">
        <v>113</v>
      </c>
      <c r="B71" s="75"/>
      <c r="C71" s="75"/>
      <c r="D71" s="75"/>
      <c r="E71" s="76">
        <f>SUM(E72:E74)</f>
        <v>50000</v>
      </c>
      <c r="F71" s="76">
        <f t="shared" ref="F71:I71" si="30">SUM(F72:F74)</f>
        <v>50000</v>
      </c>
      <c r="G71" s="76">
        <f t="shared" si="30"/>
        <v>111470</v>
      </c>
      <c r="H71" s="76">
        <f t="shared" si="30"/>
        <v>50000</v>
      </c>
      <c r="I71" s="76">
        <f t="shared" si="30"/>
        <v>50000</v>
      </c>
    </row>
    <row r="72" spans="1:9" x14ac:dyDescent="0.25">
      <c r="A72" t="s">
        <v>114</v>
      </c>
      <c r="B72" s="77" t="s">
        <v>115</v>
      </c>
      <c r="C72">
        <f>4+2+2</f>
        <v>8</v>
      </c>
      <c r="D72" s="78"/>
      <c r="E72" s="78"/>
      <c r="F72" s="78"/>
      <c r="G72" s="78"/>
      <c r="H72" s="78"/>
      <c r="I72" s="78"/>
    </row>
    <row r="73" spans="1:9" x14ac:dyDescent="0.25">
      <c r="A73" t="s">
        <v>116</v>
      </c>
      <c r="B73" s="77" t="s">
        <v>117</v>
      </c>
      <c r="C73">
        <v>1</v>
      </c>
      <c r="D73" s="31"/>
      <c r="E73" s="31">
        <v>0</v>
      </c>
      <c r="F73" s="31">
        <v>0</v>
      </c>
      <c r="G73" s="31">
        <v>61470</v>
      </c>
      <c r="H73" s="31">
        <v>0</v>
      </c>
      <c r="I73" s="31">
        <v>0</v>
      </c>
    </row>
    <row r="74" spans="1:9" x14ac:dyDescent="0.25">
      <c r="A74" t="s">
        <v>118</v>
      </c>
      <c r="B74" s="77" t="s">
        <v>115</v>
      </c>
      <c r="C74">
        <v>1</v>
      </c>
      <c r="D74" s="31"/>
      <c r="E74" s="31">
        <v>50000</v>
      </c>
      <c r="F74" s="31">
        <v>50000</v>
      </c>
      <c r="G74" s="31">
        <v>50000</v>
      </c>
      <c r="H74" s="31">
        <v>50000</v>
      </c>
      <c r="I74" s="31">
        <v>50000</v>
      </c>
    </row>
    <row r="76" spans="1:9" x14ac:dyDescent="0.25">
      <c r="A76" s="23" t="s">
        <v>119</v>
      </c>
      <c r="B76" s="23" t="s">
        <v>81</v>
      </c>
      <c r="C76" s="23" t="s">
        <v>82</v>
      </c>
      <c r="D76" s="23" t="s">
        <v>83</v>
      </c>
      <c r="E76" s="23" t="s">
        <v>84</v>
      </c>
      <c r="F76" s="23" t="s">
        <v>85</v>
      </c>
      <c r="G76" s="23" t="s">
        <v>86</v>
      </c>
      <c r="H76" s="23" t="s">
        <v>87</v>
      </c>
      <c r="I76" s="23" t="s">
        <v>88</v>
      </c>
    </row>
    <row r="77" spans="1:9" x14ac:dyDescent="0.25">
      <c r="A77" t="s">
        <v>120</v>
      </c>
      <c r="B77" s="30" t="s">
        <v>90</v>
      </c>
      <c r="C77">
        <v>1701.9</v>
      </c>
      <c r="D77" s="34">
        <f>D25</f>
        <v>110</v>
      </c>
      <c r="E77" s="31">
        <f>C77*D77</f>
        <v>187209</v>
      </c>
      <c r="F77" s="31">
        <f>E77*1.1</f>
        <v>205929.90000000002</v>
      </c>
      <c r="G77" s="31">
        <f t="shared" ref="G77:I77" si="31">F77*1.1</f>
        <v>226522.89000000004</v>
      </c>
      <c r="H77" s="31">
        <f t="shared" si="31"/>
        <v>249175.17900000006</v>
      </c>
      <c r="I77" s="31">
        <f t="shared" si="31"/>
        <v>274092.6969000001</v>
      </c>
    </row>
    <row r="78" spans="1:9" ht="30" x14ac:dyDescent="0.25">
      <c r="A78" s="79" t="s">
        <v>121</v>
      </c>
      <c r="B78" s="77" t="s">
        <v>115</v>
      </c>
      <c r="C78" s="80"/>
      <c r="D78" s="80"/>
      <c r="E78" s="80"/>
      <c r="F78" s="80"/>
      <c r="G78" s="80"/>
      <c r="H78" s="80"/>
      <c r="I78" s="80"/>
    </row>
    <row r="79" spans="1:9" x14ac:dyDescent="0.25">
      <c r="A79" s="75" t="s">
        <v>122</v>
      </c>
      <c r="B79" s="75"/>
      <c r="C79" s="75"/>
      <c r="D79" s="75"/>
      <c r="E79" s="76">
        <f>SUM(E80:E82)</f>
        <v>50000</v>
      </c>
      <c r="F79" s="76">
        <f t="shared" ref="F79:I79" si="32">SUM(F80:F82)</f>
        <v>50000</v>
      </c>
      <c r="G79" s="76">
        <f t="shared" si="32"/>
        <v>124290</v>
      </c>
      <c r="H79" s="76">
        <f t="shared" si="32"/>
        <v>50000</v>
      </c>
      <c r="I79" s="76">
        <f t="shared" si="32"/>
        <v>50000</v>
      </c>
    </row>
    <row r="80" spans="1:9" x14ac:dyDescent="0.25">
      <c r="A80" t="s">
        <v>114</v>
      </c>
      <c r="B80" s="77" t="s">
        <v>115</v>
      </c>
      <c r="C80">
        <f>4+4</f>
        <v>8</v>
      </c>
      <c r="D80" s="80"/>
      <c r="E80" s="80"/>
      <c r="F80" s="80"/>
      <c r="G80" s="80"/>
      <c r="H80" s="80"/>
      <c r="I80" s="80"/>
    </row>
    <row r="81" spans="1:9" ht="30" x14ac:dyDescent="0.25">
      <c r="A81" s="79" t="s">
        <v>123</v>
      </c>
      <c r="B81" s="77" t="s">
        <v>117</v>
      </c>
      <c r="C81">
        <v>1</v>
      </c>
      <c r="E81">
        <v>0</v>
      </c>
      <c r="F81">
        <v>0</v>
      </c>
      <c r="G81" s="31">
        <v>74290</v>
      </c>
      <c r="H81">
        <v>0</v>
      </c>
      <c r="I81">
        <v>0</v>
      </c>
    </row>
    <row r="82" spans="1:9" x14ac:dyDescent="0.25">
      <c r="A82" t="s">
        <v>118</v>
      </c>
      <c r="B82" s="77" t="s">
        <v>115</v>
      </c>
      <c r="C82">
        <v>1</v>
      </c>
      <c r="E82" s="31">
        <v>50000</v>
      </c>
      <c r="F82" s="31">
        <v>50000</v>
      </c>
      <c r="G82" s="31">
        <v>50000</v>
      </c>
      <c r="H82" s="31">
        <v>50000</v>
      </c>
      <c r="I82" s="31">
        <v>50000</v>
      </c>
    </row>
    <row r="84" spans="1:9" x14ac:dyDescent="0.25">
      <c r="A84" s="23" t="s">
        <v>124</v>
      </c>
      <c r="B84" s="23" t="s">
        <v>81</v>
      </c>
      <c r="C84" s="23" t="s">
        <v>82</v>
      </c>
      <c r="D84" s="23" t="s">
        <v>83</v>
      </c>
      <c r="E84" s="23" t="s">
        <v>84</v>
      </c>
      <c r="F84" s="23" t="s">
        <v>85</v>
      </c>
      <c r="G84" s="23" t="s">
        <v>86</v>
      </c>
      <c r="H84" s="23" t="s">
        <v>87</v>
      </c>
      <c r="I84" s="23" t="s">
        <v>88</v>
      </c>
    </row>
    <row r="85" spans="1:9" x14ac:dyDescent="0.25">
      <c r="A85" t="s">
        <v>125</v>
      </c>
      <c r="B85" s="77" t="s">
        <v>91</v>
      </c>
      <c r="C85">
        <v>459.8</v>
      </c>
      <c r="D85" s="34">
        <f>D25</f>
        <v>110</v>
      </c>
      <c r="E85" s="31">
        <f>C85*D85</f>
        <v>50578</v>
      </c>
      <c r="F85" s="31">
        <f>E85*1.1</f>
        <v>55635.8</v>
      </c>
      <c r="G85" s="31">
        <f t="shared" ref="G85:I85" si="33">F85*1.1</f>
        <v>61199.380000000005</v>
      </c>
      <c r="H85" s="31">
        <f t="shared" si="33"/>
        <v>67319.318000000014</v>
      </c>
      <c r="I85" s="31">
        <f t="shared" si="33"/>
        <v>74051.24980000002</v>
      </c>
    </row>
    <row r="86" spans="1:9" ht="30" x14ac:dyDescent="0.25">
      <c r="A86" s="79" t="s">
        <v>126</v>
      </c>
      <c r="B86" s="77" t="s">
        <v>115</v>
      </c>
      <c r="C86" s="80"/>
      <c r="D86" s="81"/>
      <c r="E86" s="78"/>
      <c r="F86" s="78"/>
      <c r="G86" s="78"/>
      <c r="H86" s="78"/>
      <c r="I86" s="78"/>
    </row>
    <row r="87" spans="1:9" x14ac:dyDescent="0.25">
      <c r="A87" s="82" t="s">
        <v>127</v>
      </c>
      <c r="B87" s="83"/>
      <c r="C87" s="84">
        <f>SUM(C88:C91)</f>
        <v>149.5</v>
      </c>
      <c r="D87" s="52">
        <f>D27</f>
        <v>240.3</v>
      </c>
      <c r="E87" s="51">
        <f>C87*D87</f>
        <v>35924.85</v>
      </c>
      <c r="F87" s="51">
        <f>E87*1.1</f>
        <v>39517.334999999999</v>
      </c>
      <c r="G87" s="51">
        <f t="shared" ref="G87:I87" si="34">F87*1.1</f>
        <v>43469.068500000001</v>
      </c>
      <c r="H87" s="51">
        <f t="shared" si="34"/>
        <v>47815.975350000008</v>
      </c>
      <c r="I87" s="51">
        <f t="shared" si="34"/>
        <v>52597.572885000016</v>
      </c>
    </row>
    <row r="88" spans="1:9" ht="17.25" x14ac:dyDescent="0.25">
      <c r="A88" s="79" t="s">
        <v>128</v>
      </c>
      <c r="B88" s="30" t="s">
        <v>97</v>
      </c>
      <c r="C88">
        <f>0.05*365</f>
        <v>18.25</v>
      </c>
      <c r="D88" s="34"/>
      <c r="E88" s="31"/>
      <c r="F88" s="31"/>
      <c r="G88" s="31"/>
      <c r="H88" s="31"/>
      <c r="I88" s="31"/>
    </row>
    <row r="89" spans="1:9" ht="17.25" x14ac:dyDescent="0.25">
      <c r="A89" s="79" t="s">
        <v>129</v>
      </c>
      <c r="B89" s="30" t="s">
        <v>97</v>
      </c>
      <c r="C89">
        <f>0.05*365</f>
        <v>18.25</v>
      </c>
      <c r="D89" s="34"/>
      <c r="E89" s="31"/>
      <c r="F89" s="31"/>
      <c r="G89" s="31"/>
      <c r="H89" s="31"/>
      <c r="I89" s="31"/>
    </row>
    <row r="90" spans="1:9" ht="17.25" x14ac:dyDescent="0.25">
      <c r="A90" s="79" t="s">
        <v>130</v>
      </c>
      <c r="B90" s="30" t="s">
        <v>97</v>
      </c>
      <c r="C90">
        <f>2*20</f>
        <v>40</v>
      </c>
      <c r="D90" s="34"/>
      <c r="E90" s="31"/>
      <c r="F90" s="31"/>
      <c r="G90" s="31"/>
      <c r="H90" s="31"/>
      <c r="I90" s="31"/>
    </row>
    <row r="91" spans="1:9" ht="17.25" x14ac:dyDescent="0.25">
      <c r="A91" s="79" t="s">
        <v>131</v>
      </c>
      <c r="B91" s="30" t="s">
        <v>97</v>
      </c>
      <c r="C91">
        <f>0.2*365</f>
        <v>73</v>
      </c>
      <c r="D91" s="34"/>
      <c r="E91" s="31"/>
      <c r="F91" s="31"/>
      <c r="G91" s="31"/>
      <c r="H91" s="31"/>
      <c r="I91" s="31"/>
    </row>
    <row r="92" spans="1:9" x14ac:dyDescent="0.25">
      <c r="A92" s="75" t="s">
        <v>132</v>
      </c>
      <c r="B92" s="75"/>
      <c r="C92" s="75"/>
      <c r="D92" s="75"/>
      <c r="E92" s="76">
        <f>SUM(E93:E95)</f>
        <v>50000</v>
      </c>
      <c r="F92" s="76">
        <f t="shared" ref="F92:I92" si="35">SUM(F93:F95)</f>
        <v>50000</v>
      </c>
      <c r="G92" s="76">
        <f t="shared" si="35"/>
        <v>111470</v>
      </c>
      <c r="H92" s="76">
        <f t="shared" si="35"/>
        <v>50000</v>
      </c>
      <c r="I92" s="76">
        <f t="shared" si="35"/>
        <v>50000</v>
      </c>
    </row>
    <row r="93" spans="1:9" x14ac:dyDescent="0.25">
      <c r="A93" t="s">
        <v>114</v>
      </c>
      <c r="B93" s="30" t="s">
        <v>115</v>
      </c>
      <c r="C93">
        <f>1+1+1+2</f>
        <v>5</v>
      </c>
      <c r="D93" s="80"/>
      <c r="E93" s="78"/>
      <c r="F93" s="78"/>
      <c r="G93" s="78"/>
      <c r="H93" s="78"/>
      <c r="I93" s="78"/>
    </row>
    <row r="94" spans="1:9" ht="30" x14ac:dyDescent="0.25">
      <c r="A94" s="79" t="s">
        <v>123</v>
      </c>
      <c r="B94" s="77" t="s">
        <v>117</v>
      </c>
      <c r="C94">
        <v>1</v>
      </c>
      <c r="E94" s="31">
        <v>0</v>
      </c>
      <c r="F94" s="31">
        <v>0</v>
      </c>
      <c r="G94" s="31">
        <v>61470</v>
      </c>
      <c r="H94" s="31">
        <v>0</v>
      </c>
      <c r="I94" s="31">
        <v>0</v>
      </c>
    </row>
    <row r="95" spans="1:9" x14ac:dyDescent="0.25">
      <c r="A95" t="s">
        <v>118</v>
      </c>
      <c r="B95" s="30" t="s">
        <v>115</v>
      </c>
      <c r="C95">
        <v>1</v>
      </c>
      <c r="E95" s="31">
        <v>50000</v>
      </c>
      <c r="F95" s="31">
        <v>50000</v>
      </c>
      <c r="G95" s="31">
        <v>50000</v>
      </c>
      <c r="H95" s="31">
        <v>50000</v>
      </c>
      <c r="I95" s="31">
        <v>50000</v>
      </c>
    </row>
    <row r="97" spans="1:9" x14ac:dyDescent="0.25">
      <c r="A97" s="85" t="s">
        <v>133</v>
      </c>
      <c r="B97" s="23" t="s">
        <v>81</v>
      </c>
      <c r="C97" s="23" t="s">
        <v>82</v>
      </c>
      <c r="D97" s="23" t="s">
        <v>83</v>
      </c>
      <c r="E97" s="23" t="s">
        <v>84</v>
      </c>
      <c r="F97" s="23" t="s">
        <v>85</v>
      </c>
      <c r="G97" s="23" t="s">
        <v>86</v>
      </c>
      <c r="H97" s="23" t="s">
        <v>87</v>
      </c>
      <c r="I97" s="23" t="s">
        <v>88</v>
      </c>
    </row>
    <row r="98" spans="1:9" x14ac:dyDescent="0.25">
      <c r="A98" t="s">
        <v>134</v>
      </c>
      <c r="B98" s="77" t="s">
        <v>135</v>
      </c>
      <c r="C98">
        <v>12</v>
      </c>
      <c r="D98" s="31">
        <f>600000*1.13</f>
        <v>677999.99999999988</v>
      </c>
      <c r="E98" s="31">
        <f>C98*D98</f>
        <v>8135999.9999999981</v>
      </c>
      <c r="F98" s="31">
        <f>E98*1.1</f>
        <v>8949599.9999999981</v>
      </c>
      <c r="G98" s="31">
        <f t="shared" ref="G98:I98" si="36">F98*1.1</f>
        <v>9844559.9999999981</v>
      </c>
      <c r="H98" s="31">
        <f t="shared" si="36"/>
        <v>10829015.999999998</v>
      </c>
      <c r="I98" s="31">
        <f t="shared" si="36"/>
        <v>11911917.6</v>
      </c>
    </row>
    <row r="99" spans="1:9" x14ac:dyDescent="0.25">
      <c r="A99" t="s">
        <v>136</v>
      </c>
      <c r="B99" s="77" t="s">
        <v>135</v>
      </c>
      <c r="C99">
        <v>12</v>
      </c>
      <c r="D99" s="31">
        <f>400000*1.13</f>
        <v>451999.99999999994</v>
      </c>
      <c r="E99" s="31">
        <f t="shared" ref="E99:E100" si="37">C99*D99</f>
        <v>5423999.9999999991</v>
      </c>
      <c r="F99" s="31">
        <f t="shared" ref="F99:I100" si="38">E99*1.1</f>
        <v>5966399.9999999991</v>
      </c>
      <c r="G99" s="31">
        <f t="shared" si="38"/>
        <v>6563039.9999999991</v>
      </c>
      <c r="H99" s="31">
        <f t="shared" si="38"/>
        <v>7219344</v>
      </c>
      <c r="I99" s="31">
        <f t="shared" si="38"/>
        <v>7941278.4000000004</v>
      </c>
    </row>
    <row r="100" spans="1:9" x14ac:dyDescent="0.25">
      <c r="A100" t="s">
        <v>137</v>
      </c>
      <c r="B100" s="77" t="s">
        <v>135</v>
      </c>
      <c r="C100" s="31">
        <v>12</v>
      </c>
      <c r="D100" s="31">
        <f>150000*1.13</f>
        <v>169499.99999999997</v>
      </c>
      <c r="E100" s="31">
        <f t="shared" si="37"/>
        <v>2033999.9999999995</v>
      </c>
      <c r="F100" s="31">
        <f t="shared" si="38"/>
        <v>2237399.9999999995</v>
      </c>
      <c r="G100" s="31">
        <f t="shared" si="38"/>
        <v>2461139.9999999995</v>
      </c>
      <c r="H100" s="31">
        <f t="shared" si="38"/>
        <v>2707253.9999999995</v>
      </c>
      <c r="I100" s="31">
        <f t="shared" si="38"/>
        <v>2977979.4</v>
      </c>
    </row>
    <row r="101" spans="1:9" x14ac:dyDescent="0.25">
      <c r="A101" s="86" t="s">
        <v>138</v>
      </c>
      <c r="B101" s="86"/>
      <c r="C101" s="86"/>
      <c r="D101" s="86"/>
      <c r="E101" s="87">
        <f>SUM(E98:E100)</f>
        <v>15593999.999999996</v>
      </c>
      <c r="F101" s="87">
        <f>SUM(F98:F100)</f>
        <v>17153399.999999996</v>
      </c>
      <c r="G101" s="87">
        <f>SUM(G98:G100)</f>
        <v>18868739.999999996</v>
      </c>
      <c r="H101" s="87">
        <f>SUM(H98:H100)</f>
        <v>20755614</v>
      </c>
      <c r="I101" s="87">
        <f>SUM(I98:I100)</f>
        <v>22831175.399999999</v>
      </c>
    </row>
    <row r="103" spans="1:9" x14ac:dyDescent="0.25">
      <c r="D103" t="s">
        <v>139</v>
      </c>
      <c r="E103" s="31">
        <f>E29+E30+E31+E46+E47+E48+E62+E63+E64+E77+E85</f>
        <v>3691187</v>
      </c>
      <c r="F103" s="31">
        <f>F29+F30+F31+F46+F47+F48+F62+F63+F64+F77+F85</f>
        <v>4060305.6999999997</v>
      </c>
      <c r="G103" s="31">
        <f>G29+G30+G31+G46+G47+G48+G62+G63+G64+G77+G85</f>
        <v>4466336.2699999996</v>
      </c>
      <c r="H103" s="31">
        <f>H29+H30+H31+H46+H47+H48+H62+H63+H64+H77+H85</f>
        <v>4912969.8970000008</v>
      </c>
      <c r="I103" s="31">
        <f>I29+I30+I31+I46+I47+I48+I62+I63+I64+I77+I85</f>
        <v>5404266.8867000006</v>
      </c>
    </row>
    <row r="104" spans="1:9" x14ac:dyDescent="0.25">
      <c r="D104" s="84" t="s">
        <v>140</v>
      </c>
      <c r="E104" s="51">
        <f>E87+E65+E49+E32</f>
        <v>456449.85</v>
      </c>
      <c r="F104" s="51">
        <f>F87+F65+F49+F32</f>
        <v>502094.83500000008</v>
      </c>
      <c r="G104" s="51">
        <f>G87+G65+G49+G32</f>
        <v>552304.31850000005</v>
      </c>
      <c r="H104" s="51">
        <f>H87+H65+H49+H32</f>
        <v>607534.7503500001</v>
      </c>
      <c r="I104" s="51">
        <f>I87+I65+I49+I32</f>
        <v>668288.22538500023</v>
      </c>
    </row>
    <row r="105" spans="1:9" x14ac:dyDescent="0.25">
      <c r="D105" s="88" t="s">
        <v>141</v>
      </c>
      <c r="E105" s="89">
        <f t="shared" ref="E105:I107" si="39">E66+E50+E33</f>
        <v>272025</v>
      </c>
      <c r="F105" s="89">
        <f t="shared" si="39"/>
        <v>299227.5</v>
      </c>
      <c r="G105" s="89">
        <f t="shared" si="39"/>
        <v>329150.25</v>
      </c>
      <c r="H105" s="89">
        <f t="shared" si="39"/>
        <v>362065.27500000002</v>
      </c>
      <c r="I105" s="89">
        <f t="shared" si="39"/>
        <v>398271.80250000011</v>
      </c>
    </row>
    <row r="106" spans="1:9" x14ac:dyDescent="0.25">
      <c r="D106" s="90" t="s">
        <v>142</v>
      </c>
      <c r="E106" s="61">
        <f t="shared" si="39"/>
        <v>1100000</v>
      </c>
      <c r="F106" s="61">
        <f t="shared" si="39"/>
        <v>1210000</v>
      </c>
      <c r="G106" s="61">
        <f t="shared" si="39"/>
        <v>1331000.0000000002</v>
      </c>
      <c r="H106" s="61">
        <f t="shared" si="39"/>
        <v>1464100.0000000005</v>
      </c>
      <c r="I106" s="61">
        <f t="shared" si="39"/>
        <v>1610510.0000000005</v>
      </c>
    </row>
    <row r="107" spans="1:9" x14ac:dyDescent="0.25">
      <c r="D107" s="91" t="s">
        <v>143</v>
      </c>
      <c r="E107" s="64">
        <f t="shared" si="39"/>
        <v>2440000</v>
      </c>
      <c r="F107" s="64">
        <f t="shared" si="39"/>
        <v>2684000</v>
      </c>
      <c r="G107" s="64">
        <f t="shared" si="39"/>
        <v>2952400.0000000009</v>
      </c>
      <c r="H107" s="64">
        <f t="shared" si="39"/>
        <v>3247640.0000000009</v>
      </c>
      <c r="I107" s="64">
        <f t="shared" si="39"/>
        <v>3572404.0000000014</v>
      </c>
    </row>
    <row r="108" spans="1:9" x14ac:dyDescent="0.25">
      <c r="D108" s="75" t="s">
        <v>144</v>
      </c>
      <c r="E108" s="76">
        <f>E92+E79+E71</f>
        <v>150000</v>
      </c>
      <c r="F108" s="76">
        <f t="shared" ref="F108:I108" si="40">F92+F79+F71</f>
        <v>150000</v>
      </c>
      <c r="G108" s="76">
        <f t="shared" si="40"/>
        <v>347230</v>
      </c>
      <c r="H108" s="76">
        <f t="shared" si="40"/>
        <v>150000</v>
      </c>
      <c r="I108" s="76">
        <f t="shared" si="40"/>
        <v>150000</v>
      </c>
    </row>
    <row r="109" spans="1:9" x14ac:dyDescent="0.25">
      <c r="D109" s="92" t="s">
        <v>145</v>
      </c>
      <c r="E109" s="67">
        <f>E69+E53+E36</f>
        <v>405000</v>
      </c>
      <c r="F109" s="67">
        <f>F69+F53+F36</f>
        <v>445500</v>
      </c>
      <c r="G109" s="67">
        <f>G69+G53+G36</f>
        <v>490050.00000000012</v>
      </c>
      <c r="H109" s="67">
        <f>H69+H53+H36</f>
        <v>539055.00000000023</v>
      </c>
      <c r="I109" s="67">
        <f>I69+I53+I36</f>
        <v>592960.50000000023</v>
      </c>
    </row>
    <row r="110" spans="1:9" ht="30" x14ac:dyDescent="0.25">
      <c r="D110" s="93" t="s">
        <v>146</v>
      </c>
      <c r="E110" s="87">
        <f>E101</f>
        <v>15593999.999999996</v>
      </c>
      <c r="F110" s="87">
        <f t="shared" ref="F110:I110" si="41">F101</f>
        <v>17153399.999999996</v>
      </c>
      <c r="G110" s="87">
        <f t="shared" si="41"/>
        <v>18868739.999999996</v>
      </c>
      <c r="H110" s="87">
        <f t="shared" si="41"/>
        <v>20755614</v>
      </c>
      <c r="I110" s="87">
        <f t="shared" si="41"/>
        <v>22831175.399999999</v>
      </c>
    </row>
    <row r="112" spans="1:9" x14ac:dyDescent="0.25">
      <c r="D112" t="s">
        <v>147</v>
      </c>
      <c r="E112" s="31">
        <f>SUM(E103:E110)</f>
        <v>24108661.849999994</v>
      </c>
      <c r="F112" s="31">
        <f t="shared" ref="F112:I112" si="42">SUM(F103:F110)</f>
        <v>26504528.034999996</v>
      </c>
      <c r="G112" s="31">
        <f t="shared" si="42"/>
        <v>29337210.838499997</v>
      </c>
      <c r="H112" s="31">
        <f t="shared" si="42"/>
        <v>32038978.922350004</v>
      </c>
      <c r="I112" s="31">
        <f t="shared" si="42"/>
        <v>35227876.814585</v>
      </c>
    </row>
    <row r="116" spans="1:6" x14ac:dyDescent="0.25">
      <c r="A116" s="94"/>
      <c r="C116" s="31"/>
      <c r="D116" s="31"/>
      <c r="E116" s="31"/>
      <c r="F116" s="31"/>
    </row>
    <row r="117" spans="1:6" x14ac:dyDescent="0.25">
      <c r="A117" s="95"/>
    </row>
    <row r="118" spans="1:6" x14ac:dyDescent="0.25">
      <c r="A118" s="95"/>
      <c r="B118" s="96"/>
    </row>
    <row r="119" spans="1:6" x14ac:dyDescent="0.25">
      <c r="A119" s="94"/>
      <c r="E119" s="97"/>
      <c r="F119" s="98"/>
    </row>
    <row r="120" spans="1:6" x14ac:dyDescent="0.25">
      <c r="A120" s="99"/>
      <c r="D120" s="100"/>
    </row>
    <row r="121" spans="1:6" x14ac:dyDescent="0.25">
      <c r="A121" s="99"/>
    </row>
    <row r="122" spans="1:6" x14ac:dyDescent="0.25">
      <c r="A122" s="101"/>
    </row>
    <row r="123" spans="1:6" x14ac:dyDescent="0.25">
      <c r="A123" s="95"/>
    </row>
    <row r="124" spans="1:6" x14ac:dyDescent="0.25">
      <c r="A124" s="95"/>
    </row>
    <row r="125" spans="1:6" x14ac:dyDescent="0.25">
      <c r="A125" s="95"/>
    </row>
    <row r="126" spans="1:6" x14ac:dyDescent="0.25">
      <c r="A126" s="95"/>
    </row>
    <row r="127" spans="1:6" x14ac:dyDescent="0.25">
      <c r="A127" s="95"/>
    </row>
    <row r="128" spans="1:6" x14ac:dyDescent="0.25">
      <c r="A128" s="95"/>
    </row>
    <row r="129" spans="1:3" x14ac:dyDescent="0.25">
      <c r="A129" s="95"/>
    </row>
    <row r="130" spans="1:3" x14ac:dyDescent="0.25">
      <c r="A130" s="95"/>
    </row>
    <row r="132" spans="1:3" x14ac:dyDescent="0.25">
      <c r="B132" s="79"/>
      <c r="C132" s="79"/>
    </row>
  </sheetData>
  <mergeCells count="7">
    <mergeCell ref="U1:U2"/>
    <mergeCell ref="A1:A2"/>
    <mergeCell ref="B1:B2"/>
    <mergeCell ref="C1:C2"/>
    <mergeCell ref="D1:D2"/>
    <mergeCell ref="E1:E2"/>
    <mergeCell ref="T1:T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D01E9-2507-4D40-A7C2-48E07B414A8C}">
  <sheetPr>
    <tabColor rgb="FF92D050"/>
  </sheetPr>
  <dimension ref="A1:T52"/>
  <sheetViews>
    <sheetView zoomScale="85" zoomScaleNormal="85" workbookViewId="0">
      <selection activeCell="F57" sqref="F57"/>
    </sheetView>
  </sheetViews>
  <sheetFormatPr defaultRowHeight="15" x14ac:dyDescent="0.25"/>
  <cols>
    <col min="1" max="1" width="33.85546875" customWidth="1"/>
    <col min="2" max="2" width="17.28515625" bestFit="1" customWidth="1"/>
    <col min="3" max="3" width="14.42578125" customWidth="1"/>
    <col min="4" max="4" width="15.7109375" bestFit="1" customWidth="1"/>
    <col min="5" max="5" width="13" customWidth="1"/>
    <col min="6" max="6" width="13.85546875" customWidth="1"/>
    <col min="7" max="17" width="11.5703125" customWidth="1"/>
    <col min="18" max="18" width="12.7109375" bestFit="1" customWidth="1"/>
    <col min="19" max="19" width="15.42578125" customWidth="1"/>
    <col min="20" max="20" width="16" bestFit="1" customWidth="1"/>
  </cols>
  <sheetData>
    <row r="1" spans="1:20" ht="59.25" customHeight="1" x14ac:dyDescent="0.25">
      <c r="A1" s="10" t="s">
        <v>148</v>
      </c>
      <c r="B1" s="10" t="s">
        <v>149</v>
      </c>
      <c r="C1" s="10" t="s">
        <v>150</v>
      </c>
      <c r="D1" s="10" t="s">
        <v>151</v>
      </c>
      <c r="E1" s="11" t="s">
        <v>35</v>
      </c>
      <c r="F1" s="11" t="s">
        <v>36</v>
      </c>
      <c r="G1" s="11" t="s">
        <v>37</v>
      </c>
      <c r="H1" s="11" t="s">
        <v>36</v>
      </c>
      <c r="I1" s="11" t="s">
        <v>37</v>
      </c>
      <c r="J1" s="11" t="s">
        <v>38</v>
      </c>
      <c r="K1" s="11" t="s">
        <v>39</v>
      </c>
      <c r="L1" s="11" t="s">
        <v>40</v>
      </c>
      <c r="M1" s="11" t="s">
        <v>41</v>
      </c>
      <c r="N1" s="11" t="s">
        <v>42</v>
      </c>
      <c r="O1" s="11" t="s">
        <v>43</v>
      </c>
      <c r="P1" s="11" t="s">
        <v>44</v>
      </c>
      <c r="Q1" s="11" t="s">
        <v>45</v>
      </c>
      <c r="R1" s="11" t="s">
        <v>46</v>
      </c>
      <c r="S1" s="10" t="s">
        <v>152</v>
      </c>
      <c r="T1" s="10" t="s">
        <v>153</v>
      </c>
    </row>
    <row r="2" spans="1:20" ht="15.75" thickBot="1" x14ac:dyDescent="0.3">
      <c r="A2" s="12"/>
      <c r="B2" s="12"/>
      <c r="C2" s="12"/>
      <c r="D2" s="12"/>
      <c r="E2" s="13" t="s">
        <v>49</v>
      </c>
      <c r="F2" s="13" t="s">
        <v>50</v>
      </c>
      <c r="G2" s="13" t="s">
        <v>51</v>
      </c>
      <c r="H2" s="13" t="s">
        <v>52</v>
      </c>
      <c r="I2" s="13" t="s">
        <v>53</v>
      </c>
      <c r="J2" s="13" t="s">
        <v>54</v>
      </c>
      <c r="K2" s="13" t="s">
        <v>55</v>
      </c>
      <c r="L2" s="13" t="s">
        <v>56</v>
      </c>
      <c r="M2" s="13" t="s">
        <v>57</v>
      </c>
      <c r="N2" s="13" t="s">
        <v>58</v>
      </c>
      <c r="O2" s="13" t="s">
        <v>59</v>
      </c>
      <c r="P2" s="13" t="s">
        <v>60</v>
      </c>
      <c r="Q2" s="13" t="s">
        <v>61</v>
      </c>
      <c r="R2" s="13" t="s">
        <v>62</v>
      </c>
      <c r="S2" s="12"/>
      <c r="T2" s="12"/>
    </row>
    <row r="3" spans="1:20" ht="15.75" thickBot="1" x14ac:dyDescent="0.3">
      <c r="A3" s="5" t="s">
        <v>154</v>
      </c>
      <c r="B3" s="18">
        <v>0</v>
      </c>
      <c r="C3" s="18">
        <v>0</v>
      </c>
      <c r="D3" s="6">
        <v>0</v>
      </c>
      <c r="E3" s="18">
        <f>SUM(E14:E21)</f>
        <v>14970000</v>
      </c>
      <c r="F3" s="18">
        <f t="shared" ref="F3:I3" si="0">SUM(F14:F21)</f>
        <v>15359500</v>
      </c>
      <c r="G3" s="18">
        <f t="shared" si="0"/>
        <v>17193850</v>
      </c>
      <c r="H3" s="18">
        <f t="shared" si="0"/>
        <v>19487141.25</v>
      </c>
      <c r="I3" s="18">
        <f t="shared" si="0"/>
        <v>21532286.75</v>
      </c>
      <c r="J3" s="18">
        <f t="shared" ref="J3:N7" si="1">I3*1.1</f>
        <v>23685515.425000001</v>
      </c>
      <c r="K3" s="18">
        <f>J3*1.1</f>
        <v>26054066.967500001</v>
      </c>
      <c r="L3" s="18">
        <f>K3*1.1</f>
        <v>28659473.664250005</v>
      </c>
      <c r="M3" s="18">
        <f>L3*1.1</f>
        <v>31525421.030675009</v>
      </c>
      <c r="N3" s="18">
        <f>M3*1.1</f>
        <v>34677963.133742511</v>
      </c>
      <c r="O3" s="18">
        <f t="shared" ref="O3:S7" si="2">N3*1.15</f>
        <v>39879657.603803888</v>
      </c>
      <c r="P3" s="18">
        <f t="shared" si="2"/>
        <v>45861606.244374469</v>
      </c>
      <c r="Q3" s="18">
        <f>P3*1.15</f>
        <v>52740847.181030639</v>
      </c>
      <c r="R3" s="18">
        <f>Q3*1.15</f>
        <v>60651974.25818523</v>
      </c>
      <c r="S3" s="18">
        <f>R3*1.15</f>
        <v>69749770.396913007</v>
      </c>
      <c r="T3" s="18">
        <f>SUM(B3:S3)</f>
        <v>502029073.90547466</v>
      </c>
    </row>
    <row r="4" spans="1:20" ht="15.75" thickBot="1" x14ac:dyDescent="0.3">
      <c r="A4" s="5" t="s">
        <v>155</v>
      </c>
      <c r="B4" s="18">
        <v>0</v>
      </c>
      <c r="C4" s="18">
        <v>0</v>
      </c>
      <c r="D4" s="6">
        <v>0</v>
      </c>
      <c r="E4" s="18">
        <f>E24</f>
        <v>3276000</v>
      </c>
      <c r="F4" s="18">
        <f t="shared" ref="F4:I4" si="3">F24</f>
        <v>3439800</v>
      </c>
      <c r="G4" s="18">
        <f t="shared" si="3"/>
        <v>3611790</v>
      </c>
      <c r="H4" s="18">
        <f t="shared" si="3"/>
        <v>3972969.0000000005</v>
      </c>
      <c r="I4" s="18">
        <f t="shared" si="3"/>
        <v>4370265.9000000013</v>
      </c>
      <c r="J4" s="18">
        <f t="shared" si="1"/>
        <v>4807292.4900000021</v>
      </c>
      <c r="K4" s="18">
        <f t="shared" si="1"/>
        <v>5288021.7390000029</v>
      </c>
      <c r="L4" s="18">
        <f t="shared" si="1"/>
        <v>5816823.9129000036</v>
      </c>
      <c r="M4" s="18">
        <f t="shared" si="1"/>
        <v>6398506.3041900042</v>
      </c>
      <c r="N4" s="18">
        <f t="shared" si="1"/>
        <v>7038356.9346090052</v>
      </c>
      <c r="O4" s="18">
        <f t="shared" si="2"/>
        <v>8094110.4748003557</v>
      </c>
      <c r="P4" s="18">
        <f t="shared" si="2"/>
        <v>9308227.0460204091</v>
      </c>
      <c r="Q4" s="18">
        <f t="shared" si="2"/>
        <v>10704461.10292347</v>
      </c>
      <c r="R4" s="18">
        <f t="shared" si="2"/>
        <v>12310130.268361989</v>
      </c>
      <c r="S4" s="18">
        <f t="shared" si="2"/>
        <v>14156649.808616286</v>
      </c>
      <c r="T4" s="18">
        <f t="shared" ref="T4:T7" si="4">SUM(B4:S4)</f>
        <v>102593404.98142152</v>
      </c>
    </row>
    <row r="5" spans="1:20" ht="15.75" thickBot="1" x14ac:dyDescent="0.3">
      <c r="A5" s="5" t="s">
        <v>156</v>
      </c>
      <c r="B5" s="18">
        <v>0</v>
      </c>
      <c r="C5" s="18">
        <v>0</v>
      </c>
      <c r="D5" s="6">
        <v>0</v>
      </c>
      <c r="E5" s="18">
        <f>E27</f>
        <v>6450000</v>
      </c>
      <c r="F5" s="18">
        <f t="shared" ref="F5:I5" si="5">F27</f>
        <v>7095000.0000000009</v>
      </c>
      <c r="G5" s="18">
        <f t="shared" si="5"/>
        <v>7804500.0000000019</v>
      </c>
      <c r="H5" s="18">
        <f t="shared" si="5"/>
        <v>8584950.0000000019</v>
      </c>
      <c r="I5" s="18">
        <f t="shared" si="5"/>
        <v>9443445.0000000037</v>
      </c>
      <c r="J5" s="18">
        <f t="shared" si="1"/>
        <v>10387789.500000006</v>
      </c>
      <c r="K5" s="18">
        <f t="shared" si="1"/>
        <v>11426568.450000007</v>
      </c>
      <c r="L5" s="18">
        <f t="shared" si="1"/>
        <v>12569225.295000009</v>
      </c>
      <c r="M5" s="18">
        <f t="shared" si="1"/>
        <v>13826147.824500011</v>
      </c>
      <c r="N5" s="18">
        <f t="shared" si="1"/>
        <v>15208762.606950013</v>
      </c>
      <c r="O5" s="18">
        <f t="shared" si="2"/>
        <v>17490076.997992512</v>
      </c>
      <c r="P5" s="18">
        <f t="shared" si="2"/>
        <v>20113588.547691386</v>
      </c>
      <c r="Q5" s="18">
        <f t="shared" si="2"/>
        <v>23130626.829845093</v>
      </c>
      <c r="R5" s="18">
        <f t="shared" si="2"/>
        <v>26600220.854321856</v>
      </c>
      <c r="S5" s="18">
        <f t="shared" si="2"/>
        <v>30590253.982470132</v>
      </c>
      <c r="T5" s="18">
        <f t="shared" si="4"/>
        <v>220721155.88877106</v>
      </c>
    </row>
    <row r="6" spans="1:20" ht="15.75" thickBot="1" x14ac:dyDescent="0.3">
      <c r="A6" s="5" t="s">
        <v>157</v>
      </c>
      <c r="B6" s="18">
        <v>0</v>
      </c>
      <c r="C6" s="18">
        <v>0</v>
      </c>
      <c r="D6" s="6">
        <v>0</v>
      </c>
      <c r="E6" s="18">
        <f>E33+E34</f>
        <v>0</v>
      </c>
      <c r="F6" s="18">
        <f t="shared" ref="F6:I6" si="6">F33+F34</f>
        <v>1800000</v>
      </c>
      <c r="G6" s="18">
        <f t="shared" si="6"/>
        <v>1980000</v>
      </c>
      <c r="H6" s="18">
        <f t="shared" si="6"/>
        <v>2178000</v>
      </c>
      <c r="I6" s="18">
        <f t="shared" si="6"/>
        <v>2395800</v>
      </c>
      <c r="J6" s="18">
        <f t="shared" si="1"/>
        <v>2635380</v>
      </c>
      <c r="K6" s="18">
        <f t="shared" si="1"/>
        <v>2898918.0000000005</v>
      </c>
      <c r="L6" s="18">
        <f t="shared" si="1"/>
        <v>3188809.8000000007</v>
      </c>
      <c r="M6" s="18">
        <f t="shared" si="1"/>
        <v>3507690.7800000012</v>
      </c>
      <c r="N6" s="18">
        <f t="shared" si="1"/>
        <v>3858459.8580000014</v>
      </c>
      <c r="O6" s="18">
        <f t="shared" si="2"/>
        <v>4437228.8367000017</v>
      </c>
      <c r="P6" s="18">
        <f t="shared" si="2"/>
        <v>5102813.1622050013</v>
      </c>
      <c r="Q6" s="18">
        <f t="shared" si="2"/>
        <v>5868235.1365357507</v>
      </c>
      <c r="R6" s="18">
        <f t="shared" si="2"/>
        <v>6748470.4070161125</v>
      </c>
      <c r="S6" s="18">
        <f t="shared" si="2"/>
        <v>7760740.9680685289</v>
      </c>
      <c r="T6" s="18">
        <f t="shared" si="4"/>
        <v>54360546.948525399</v>
      </c>
    </row>
    <row r="7" spans="1:20" ht="15.75" thickBot="1" x14ac:dyDescent="0.3">
      <c r="A7" s="3" t="s">
        <v>158</v>
      </c>
      <c r="B7" s="16">
        <f t="shared" ref="B7:I7" si="7">SUM(B3:B6)</f>
        <v>0</v>
      </c>
      <c r="C7" s="16">
        <f t="shared" si="7"/>
        <v>0</v>
      </c>
      <c r="D7" s="16">
        <f t="shared" si="7"/>
        <v>0</v>
      </c>
      <c r="E7" s="16">
        <f t="shared" si="7"/>
        <v>24696000</v>
      </c>
      <c r="F7" s="16">
        <f t="shared" si="7"/>
        <v>27694300</v>
      </c>
      <c r="G7" s="16">
        <f t="shared" si="7"/>
        <v>30590140</v>
      </c>
      <c r="H7" s="16">
        <f t="shared" si="7"/>
        <v>34223060.25</v>
      </c>
      <c r="I7" s="16">
        <f t="shared" si="7"/>
        <v>37741797.650000006</v>
      </c>
      <c r="J7" s="18">
        <f t="shared" si="1"/>
        <v>41515977.415000007</v>
      </c>
      <c r="K7" s="18">
        <f t="shared" si="1"/>
        <v>45667575.156500012</v>
      </c>
      <c r="L7" s="18">
        <f t="shared" si="1"/>
        <v>50234332.672150016</v>
      </c>
      <c r="M7" s="18">
        <f t="shared" si="1"/>
        <v>55257765.939365022</v>
      </c>
      <c r="N7" s="18">
        <f t="shared" si="1"/>
        <v>60783542.533301532</v>
      </c>
      <c r="O7" s="18">
        <f t="shared" si="2"/>
        <v>69901073.913296759</v>
      </c>
      <c r="P7" s="18">
        <f t="shared" si="2"/>
        <v>80386235.000291273</v>
      </c>
      <c r="Q7" s="18">
        <f t="shared" si="2"/>
        <v>92444170.250334963</v>
      </c>
      <c r="R7" s="18">
        <f t="shared" si="2"/>
        <v>106310795.7878852</v>
      </c>
      <c r="S7" s="18">
        <f t="shared" si="2"/>
        <v>122257415.15606798</v>
      </c>
      <c r="T7" s="16">
        <f t="shared" si="4"/>
        <v>879704181.72419274</v>
      </c>
    </row>
    <row r="10" spans="1:20" x14ac:dyDescent="0.25">
      <c r="A10" t="s">
        <v>159</v>
      </c>
    </row>
    <row r="13" spans="1:20" x14ac:dyDescent="0.25">
      <c r="A13" s="85" t="s">
        <v>80</v>
      </c>
      <c r="B13" s="85" t="s">
        <v>81</v>
      </c>
      <c r="C13" s="85" t="s">
        <v>82</v>
      </c>
      <c r="D13" s="85" t="s">
        <v>83</v>
      </c>
      <c r="E13" s="85" t="s">
        <v>84</v>
      </c>
      <c r="F13" s="85" t="s">
        <v>85</v>
      </c>
      <c r="G13" s="85" t="s">
        <v>86</v>
      </c>
      <c r="H13" s="85" t="s">
        <v>87</v>
      </c>
      <c r="I13" s="85" t="s">
        <v>88</v>
      </c>
    </row>
    <row r="14" spans="1:20" x14ac:dyDescent="0.25">
      <c r="A14" t="s">
        <v>160</v>
      </c>
      <c r="B14" s="77" t="s">
        <v>115</v>
      </c>
      <c r="C14" s="80"/>
      <c r="D14" s="80"/>
      <c r="E14" s="31">
        <f>F51</f>
        <v>5160000</v>
      </c>
      <c r="F14" s="31">
        <f>E14*1.15</f>
        <v>5934000</v>
      </c>
      <c r="G14" s="31">
        <f>F14*1.15</f>
        <v>6824099.9999999991</v>
      </c>
      <c r="H14" s="31">
        <f>G14*1.15</f>
        <v>7847714.9999999981</v>
      </c>
      <c r="I14" s="31">
        <f>H14*1.1</f>
        <v>8632486.4999999981</v>
      </c>
    </row>
    <row r="15" spans="1:20" x14ac:dyDescent="0.25">
      <c r="A15" t="s">
        <v>161</v>
      </c>
      <c r="B15" s="77" t="s">
        <v>115</v>
      </c>
      <c r="C15" s="31">
        <f>5*300</f>
        <v>1500</v>
      </c>
      <c r="D15" s="31">
        <v>700</v>
      </c>
      <c r="E15" s="31">
        <f>C15*D15</f>
        <v>1050000</v>
      </c>
      <c r="F15" s="31">
        <f>5*300*(D15*1.15)</f>
        <v>1207499.9999999998</v>
      </c>
      <c r="G15" s="31">
        <f>6*300*(D15*1.15*1.15)</f>
        <v>1666349.9999999995</v>
      </c>
      <c r="H15" s="31">
        <f>7*300*(D15*1.15*1.15*1.15)</f>
        <v>2235686.2499999995</v>
      </c>
      <c r="I15" s="31">
        <f>7*300*(D15*1.15*1.15*1.15)</f>
        <v>2235686.2499999995</v>
      </c>
    </row>
    <row r="16" spans="1:20" x14ac:dyDescent="0.25">
      <c r="A16" t="s">
        <v>162</v>
      </c>
      <c r="B16" s="77" t="s">
        <v>115</v>
      </c>
      <c r="C16" s="102" t="s">
        <v>163</v>
      </c>
      <c r="D16" s="103" t="s">
        <v>164</v>
      </c>
      <c r="E16" s="31">
        <f>(3*500000)+(10*100000)+1000000</f>
        <v>3500000</v>
      </c>
      <c r="F16" s="31">
        <f>(3*500000)+(11*100000)</f>
        <v>2600000</v>
      </c>
      <c r="G16" s="31">
        <f>(3*500000)+(12*100000)</f>
        <v>2700000</v>
      </c>
      <c r="H16" s="31">
        <f>(3*500000)+(13*100000)</f>
        <v>2800000</v>
      </c>
      <c r="I16" s="31">
        <f>(4*500000)+(14*100000)</f>
        <v>3400000</v>
      </c>
    </row>
    <row r="17" spans="1:9" x14ac:dyDescent="0.25">
      <c r="A17" t="s">
        <v>165</v>
      </c>
      <c r="B17" s="77" t="s">
        <v>115</v>
      </c>
      <c r="C17" s="31">
        <v>10</v>
      </c>
      <c r="D17" s="31">
        <v>100000</v>
      </c>
      <c r="E17" s="31">
        <f>C17*D17</f>
        <v>1000000</v>
      </c>
      <c r="F17" s="31">
        <f>(C17*1.1)*D17</f>
        <v>1100000</v>
      </c>
      <c r="G17" s="31">
        <f>F17*1.1</f>
        <v>1210000</v>
      </c>
      <c r="H17" s="31">
        <f t="shared" ref="H17:I17" si="8">G17*1.1</f>
        <v>1331000</v>
      </c>
      <c r="I17" s="31">
        <f t="shared" si="8"/>
        <v>1464100.0000000002</v>
      </c>
    </row>
    <row r="18" spans="1:9" x14ac:dyDescent="0.25">
      <c r="A18" t="s">
        <v>166</v>
      </c>
      <c r="B18" s="77" t="s">
        <v>115</v>
      </c>
      <c r="C18" s="31">
        <v>300</v>
      </c>
      <c r="D18" s="31">
        <v>1000</v>
      </c>
      <c r="E18" s="31">
        <f>C18*D18</f>
        <v>300000</v>
      </c>
      <c r="F18" s="31">
        <f>E18*1.1</f>
        <v>330000</v>
      </c>
      <c r="G18" s="31">
        <f t="shared" ref="G18:I21" si="9">F18*1.1</f>
        <v>363000.00000000006</v>
      </c>
      <c r="H18" s="31">
        <f t="shared" si="9"/>
        <v>399300.00000000012</v>
      </c>
      <c r="I18" s="31">
        <f t="shared" si="9"/>
        <v>439230.00000000017</v>
      </c>
    </row>
    <row r="19" spans="1:9" x14ac:dyDescent="0.25">
      <c r="A19" t="s">
        <v>167</v>
      </c>
      <c r="B19" s="77" t="s">
        <v>168</v>
      </c>
      <c r="C19" s="31">
        <v>12</v>
      </c>
      <c r="D19" s="31">
        <v>200000</v>
      </c>
      <c r="E19" s="31">
        <f>C19*D19</f>
        <v>2400000</v>
      </c>
      <c r="F19" s="31">
        <f>E19*1.05</f>
        <v>2520000</v>
      </c>
      <c r="G19" s="31">
        <f t="shared" ref="G19:G20" si="10">F19*1.05</f>
        <v>2646000</v>
      </c>
      <c r="H19" s="31">
        <f>G19*1.1</f>
        <v>2910600.0000000005</v>
      </c>
      <c r="I19" s="31">
        <f>H19*1.1</f>
        <v>3201660.0000000009</v>
      </c>
    </row>
    <row r="20" spans="1:9" x14ac:dyDescent="0.25">
      <c r="A20" t="s">
        <v>169</v>
      </c>
      <c r="B20" s="77" t="s">
        <v>168</v>
      </c>
      <c r="C20" s="31">
        <v>12</v>
      </c>
      <c r="D20" s="31">
        <v>80000</v>
      </c>
      <c r="E20" s="31">
        <f>C20*D20</f>
        <v>960000</v>
      </c>
      <c r="F20" s="31">
        <f>E20*1.05</f>
        <v>1008000</v>
      </c>
      <c r="G20" s="31">
        <f t="shared" si="10"/>
        <v>1058400</v>
      </c>
      <c r="H20" s="31">
        <f>G20*1.1</f>
        <v>1164240</v>
      </c>
      <c r="I20" s="31">
        <f>H20*1.1</f>
        <v>1280664</v>
      </c>
    </row>
    <row r="21" spans="1:9" x14ac:dyDescent="0.25">
      <c r="A21" t="s">
        <v>170</v>
      </c>
      <c r="B21" s="77" t="s">
        <v>115</v>
      </c>
      <c r="C21" s="31">
        <v>300</v>
      </c>
      <c r="D21" s="31">
        <v>2000</v>
      </c>
      <c r="E21" s="31">
        <v>600000</v>
      </c>
      <c r="F21" s="31">
        <v>660000</v>
      </c>
      <c r="G21" s="31">
        <f t="shared" si="9"/>
        <v>726000.00000000012</v>
      </c>
      <c r="H21" s="31">
        <f t="shared" si="9"/>
        <v>798600.00000000023</v>
      </c>
      <c r="I21" s="31">
        <f t="shared" si="9"/>
        <v>878460.00000000035</v>
      </c>
    </row>
    <row r="22" spans="1:9" x14ac:dyDescent="0.25">
      <c r="B22" s="77"/>
      <c r="C22" s="31"/>
      <c r="D22" s="31"/>
      <c r="E22" s="31"/>
      <c r="F22" s="31"/>
      <c r="G22" s="31"/>
      <c r="H22" s="31"/>
      <c r="I22" s="31"/>
    </row>
    <row r="23" spans="1:9" x14ac:dyDescent="0.25">
      <c r="A23" s="85" t="s">
        <v>171</v>
      </c>
      <c r="B23" s="77"/>
      <c r="C23" s="31"/>
      <c r="D23" s="31"/>
      <c r="E23" s="31"/>
      <c r="F23" s="31"/>
      <c r="G23" s="31"/>
      <c r="H23" s="31"/>
      <c r="I23" s="31"/>
    </row>
    <row r="24" spans="1:9" x14ac:dyDescent="0.25">
      <c r="A24" t="s">
        <v>172</v>
      </c>
      <c r="B24" s="77" t="s">
        <v>168</v>
      </c>
      <c r="C24" s="31">
        <v>12</v>
      </c>
      <c r="D24" s="31">
        <v>260000</v>
      </c>
      <c r="E24" s="31">
        <f>D24*1.05*C24</f>
        <v>3276000</v>
      </c>
      <c r="F24" s="31">
        <f>E24*1.05</f>
        <v>3439800</v>
      </c>
      <c r="G24" s="31">
        <f t="shared" ref="G24" si="11">F24*1.05</f>
        <v>3611790</v>
      </c>
      <c r="H24" s="31">
        <f>G24*1.1</f>
        <v>3972969.0000000005</v>
      </c>
      <c r="I24" s="31">
        <f>H24*1.1</f>
        <v>4370265.9000000013</v>
      </c>
    </row>
    <row r="25" spans="1:9" x14ac:dyDescent="0.25">
      <c r="B25" s="77"/>
      <c r="C25" s="31"/>
      <c r="D25" s="31"/>
      <c r="E25" s="31"/>
      <c r="F25" s="31"/>
      <c r="G25" s="31"/>
      <c r="H25" s="31"/>
      <c r="I25" s="31"/>
    </row>
    <row r="26" spans="1:9" x14ac:dyDescent="0.25">
      <c r="A26" s="85" t="s">
        <v>109</v>
      </c>
      <c r="B26" s="77"/>
      <c r="C26" s="31"/>
      <c r="D26" s="31"/>
      <c r="E26" s="31"/>
      <c r="F26" s="31"/>
      <c r="G26" s="31"/>
      <c r="H26" s="31"/>
      <c r="I26" s="31"/>
    </row>
    <row r="27" spans="1:9" ht="30" x14ac:dyDescent="0.25">
      <c r="A27" s="79" t="s">
        <v>173</v>
      </c>
      <c r="B27" s="77" t="s">
        <v>115</v>
      </c>
      <c r="C27" s="78"/>
      <c r="D27" s="78"/>
      <c r="E27" s="31">
        <f>F46</f>
        <v>6450000</v>
      </c>
      <c r="F27" s="31">
        <f>E27*1.1</f>
        <v>7095000.0000000009</v>
      </c>
      <c r="G27" s="31">
        <f t="shared" ref="G27:I27" si="12">F27*1.1</f>
        <v>7804500.0000000019</v>
      </c>
      <c r="H27" s="31">
        <f t="shared" si="12"/>
        <v>8584950.0000000019</v>
      </c>
      <c r="I27" s="31">
        <f t="shared" si="12"/>
        <v>9443445.0000000037</v>
      </c>
    </row>
    <row r="28" spans="1:9" x14ac:dyDescent="0.25">
      <c r="A28" t="s">
        <v>174</v>
      </c>
      <c r="B28" s="77"/>
      <c r="C28" s="31"/>
      <c r="D28" s="31"/>
      <c r="E28" s="31"/>
      <c r="F28" s="31"/>
      <c r="G28" s="31"/>
      <c r="H28" s="31"/>
      <c r="I28" s="31"/>
    </row>
    <row r="29" spans="1:9" x14ac:dyDescent="0.25">
      <c r="B29" s="77"/>
      <c r="C29" s="31"/>
      <c r="D29" s="31"/>
      <c r="E29" s="31"/>
      <c r="F29" s="31"/>
      <c r="G29" s="31"/>
      <c r="H29" s="31"/>
      <c r="I29" s="31"/>
    </row>
    <row r="30" spans="1:9" x14ac:dyDescent="0.25">
      <c r="A30" s="85" t="s">
        <v>175</v>
      </c>
      <c r="B30" s="77"/>
      <c r="C30" s="31"/>
      <c r="D30" s="31"/>
      <c r="E30" s="31"/>
      <c r="F30" s="31"/>
      <c r="G30" s="31"/>
      <c r="H30" s="31"/>
      <c r="I30" s="31"/>
    </row>
    <row r="31" spans="1:9" x14ac:dyDescent="0.25">
      <c r="B31" s="77"/>
      <c r="C31" s="31"/>
      <c r="D31" s="31"/>
      <c r="E31" s="31"/>
      <c r="F31" s="31"/>
      <c r="G31" s="31"/>
      <c r="H31" s="31"/>
      <c r="I31" s="31"/>
    </row>
    <row r="32" spans="1:9" x14ac:dyDescent="0.25">
      <c r="A32" s="85" t="s">
        <v>176</v>
      </c>
      <c r="B32" s="77"/>
      <c r="C32" s="31"/>
      <c r="D32" s="31"/>
      <c r="E32" s="31"/>
      <c r="F32" s="31"/>
      <c r="G32" s="31"/>
      <c r="H32" s="31"/>
      <c r="I32" s="31"/>
    </row>
    <row r="33" spans="1:9" x14ac:dyDescent="0.25">
      <c r="A33" t="s">
        <v>177</v>
      </c>
      <c r="B33" s="77" t="s">
        <v>115</v>
      </c>
      <c r="C33" s="31">
        <v>100</v>
      </c>
      <c r="D33" s="31">
        <v>10000</v>
      </c>
      <c r="E33" s="31">
        <v>0</v>
      </c>
      <c r="F33" s="31">
        <f>C33*D33</f>
        <v>1000000</v>
      </c>
      <c r="G33" s="31">
        <f>F33*1.1</f>
        <v>1100000</v>
      </c>
      <c r="H33" s="31">
        <f t="shared" ref="H33:I34" si="13">G33*1.1</f>
        <v>1210000</v>
      </c>
      <c r="I33" s="31">
        <f t="shared" si="13"/>
        <v>1331000</v>
      </c>
    </row>
    <row r="34" spans="1:9" ht="30" x14ac:dyDescent="0.25">
      <c r="A34" s="79" t="s">
        <v>178</v>
      </c>
      <c r="B34" s="77" t="s">
        <v>115</v>
      </c>
      <c r="C34" s="31"/>
      <c r="D34" s="31"/>
      <c r="E34" s="31">
        <v>0</v>
      </c>
      <c r="F34" s="31">
        <v>800000</v>
      </c>
      <c r="G34" s="31">
        <f>F34*1.1</f>
        <v>880000.00000000012</v>
      </c>
      <c r="H34" s="31">
        <f t="shared" si="13"/>
        <v>968000.00000000023</v>
      </c>
      <c r="I34" s="31">
        <f t="shared" si="13"/>
        <v>1064800.0000000002</v>
      </c>
    </row>
    <row r="35" spans="1:9" x14ac:dyDescent="0.25">
      <c r="B35" s="77"/>
      <c r="C35" s="31"/>
      <c r="D35" s="31"/>
      <c r="E35" s="31"/>
      <c r="F35" s="31"/>
      <c r="G35" s="31"/>
      <c r="H35" s="31"/>
      <c r="I35" s="31"/>
    </row>
    <row r="36" spans="1:9" ht="15.75" thickBot="1" x14ac:dyDescent="0.3"/>
    <row r="37" spans="1:9" ht="15.75" thickBot="1" x14ac:dyDescent="0.3">
      <c r="A37" s="104" t="s">
        <v>179</v>
      </c>
      <c r="B37" s="105"/>
      <c r="C37" s="106"/>
      <c r="D37" s="106"/>
      <c r="E37" s="106">
        <f>E14+E15+E16+E17+E18+E19+E20+E21+E24+E27+E30+E33+E34</f>
        <v>24696000</v>
      </c>
      <c r="F37" s="106">
        <f t="shared" ref="F37:H37" si="14">F14+F15+F16+F17+F18+F19+F20+F21+F24+F27+F30+F33+F34</f>
        <v>27694300</v>
      </c>
      <c r="G37" s="106">
        <f t="shared" si="14"/>
        <v>30590140</v>
      </c>
      <c r="H37" s="106">
        <f t="shared" si="14"/>
        <v>34223060.25</v>
      </c>
      <c r="I37" s="106">
        <f>I14+I15+I16+I17+I18+I19+I20+I21+I24+I27+I30+I33+I34</f>
        <v>37741797.650000006</v>
      </c>
    </row>
    <row r="38" spans="1:9" x14ac:dyDescent="0.25">
      <c r="B38" s="77"/>
      <c r="C38" s="31"/>
      <c r="D38" s="31"/>
      <c r="E38" s="31"/>
      <c r="F38" s="31"/>
      <c r="G38" s="31"/>
      <c r="H38" s="31"/>
      <c r="I38" s="31"/>
    </row>
    <row r="39" spans="1:9" x14ac:dyDescent="0.25">
      <c r="B39" s="77"/>
      <c r="C39" s="31"/>
      <c r="D39" s="31"/>
      <c r="E39" s="31"/>
      <c r="F39" s="31"/>
      <c r="G39" s="31"/>
      <c r="H39" s="31"/>
      <c r="I39" s="31"/>
    </row>
    <row r="40" spans="1:9" x14ac:dyDescent="0.25">
      <c r="B40" s="77"/>
      <c r="C40" s="31"/>
      <c r="D40" s="31"/>
      <c r="E40" s="31"/>
      <c r="F40" s="31"/>
      <c r="G40" s="31"/>
      <c r="H40" s="31"/>
      <c r="I40" s="31"/>
    </row>
    <row r="41" spans="1:9" x14ac:dyDescent="0.25">
      <c r="A41" s="85" t="s">
        <v>180</v>
      </c>
      <c r="C41" s="31"/>
      <c r="D41" s="31"/>
      <c r="E41" s="31"/>
      <c r="F41" s="31"/>
      <c r="G41" s="31"/>
      <c r="H41" s="31"/>
      <c r="I41" s="31"/>
    </row>
    <row r="42" spans="1:9" x14ac:dyDescent="0.25">
      <c r="A42" t="s">
        <v>181</v>
      </c>
      <c r="B42" s="31">
        <v>9000</v>
      </c>
      <c r="C42" s="31" t="s">
        <v>182</v>
      </c>
      <c r="D42" s="31">
        <v>18000</v>
      </c>
      <c r="E42" s="31" t="s">
        <v>183</v>
      </c>
      <c r="F42" s="31">
        <f>50*4*D42</f>
        <v>3600000</v>
      </c>
      <c r="G42" s="31"/>
      <c r="H42" s="31"/>
      <c r="I42" s="31"/>
    </row>
    <row r="43" spans="1:9" x14ac:dyDescent="0.25">
      <c r="A43" t="s">
        <v>184</v>
      </c>
      <c r="B43" s="31">
        <v>10000</v>
      </c>
      <c r="C43" s="31" t="s">
        <v>182</v>
      </c>
      <c r="D43" s="31">
        <v>30000</v>
      </c>
      <c r="E43" s="31" t="s">
        <v>183</v>
      </c>
      <c r="F43" s="31">
        <f>30*D43</f>
        <v>900000</v>
      </c>
    </row>
    <row r="44" spans="1:9" x14ac:dyDescent="0.25">
      <c r="A44" t="s">
        <v>185</v>
      </c>
      <c r="C44" s="31"/>
      <c r="D44" s="31">
        <v>25000</v>
      </c>
      <c r="E44" s="31" t="s">
        <v>183</v>
      </c>
      <c r="F44" s="31">
        <f>30*D44</f>
        <v>750000</v>
      </c>
    </row>
    <row r="45" spans="1:9" x14ac:dyDescent="0.25">
      <c r="A45" t="s">
        <v>186</v>
      </c>
      <c r="B45" s="31">
        <v>6000</v>
      </c>
      <c r="C45" s="31" t="s">
        <v>182</v>
      </c>
      <c r="D45" s="31">
        <v>60000</v>
      </c>
      <c r="E45" s="31" t="s">
        <v>183</v>
      </c>
      <c r="F45" s="31">
        <f>20*D45</f>
        <v>1200000</v>
      </c>
    </row>
    <row r="46" spans="1:9" x14ac:dyDescent="0.25">
      <c r="B46" s="31"/>
      <c r="C46" s="31"/>
      <c r="D46" s="31"/>
      <c r="E46" s="107" t="s">
        <v>187</v>
      </c>
      <c r="F46" s="107">
        <f>SUM(F42:F45)</f>
        <v>6450000</v>
      </c>
    </row>
    <row r="47" spans="1:9" x14ac:dyDescent="0.25">
      <c r="B47" s="31"/>
      <c r="D47" s="31"/>
    </row>
    <row r="48" spans="1:9" x14ac:dyDescent="0.25">
      <c r="A48" s="85" t="s">
        <v>188</v>
      </c>
      <c r="B48" s="31"/>
      <c r="D48" s="31"/>
    </row>
    <row r="49" spans="1:6" x14ac:dyDescent="0.25">
      <c r="A49" t="s">
        <v>189</v>
      </c>
      <c r="B49" s="31">
        <v>8400</v>
      </c>
      <c r="C49" t="s">
        <v>182</v>
      </c>
      <c r="D49" s="31">
        <v>50000</v>
      </c>
      <c r="E49" t="s">
        <v>183</v>
      </c>
      <c r="F49" s="31">
        <f>2*50*D49</f>
        <v>5000000</v>
      </c>
    </row>
    <row r="50" spans="1:6" x14ac:dyDescent="0.25">
      <c r="A50" t="s">
        <v>190</v>
      </c>
      <c r="B50" s="31">
        <v>5000</v>
      </c>
      <c r="C50" t="s">
        <v>182</v>
      </c>
      <c r="D50" s="31">
        <v>8000</v>
      </c>
      <c r="E50" t="s">
        <v>183</v>
      </c>
      <c r="F50" s="31">
        <f>20*D50</f>
        <v>160000</v>
      </c>
    </row>
    <row r="51" spans="1:6" x14ac:dyDescent="0.25">
      <c r="E51" s="107" t="s">
        <v>187</v>
      </c>
      <c r="F51" s="107">
        <f>SUM(F49:F50)</f>
        <v>5160000</v>
      </c>
    </row>
    <row r="52" spans="1:6" x14ac:dyDescent="0.25">
      <c r="A52" t="s">
        <v>191</v>
      </c>
    </row>
  </sheetData>
  <mergeCells count="6">
    <mergeCell ref="A1:A2"/>
    <mergeCell ref="B1:B2"/>
    <mergeCell ref="C1:C2"/>
    <mergeCell ref="D1:D2"/>
    <mergeCell ref="S1:S2"/>
    <mergeCell ref="T1:T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6.3. A fejlesztés költségei</vt:lpstr>
      <vt:lpstr>6.4. A működés költségei</vt:lpstr>
      <vt:lpstr>6.7. Pénzügyi bevételek becslés</vt:lpstr>
      <vt:lpstr>'6.7. Pénzügyi bevételek becslés'!_Toc22219927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2023-05-24T11:01:38Z</dcterms:created>
  <dcterms:modified xsi:type="dcterms:W3CDTF">2023-05-24T11:03:53Z</dcterms:modified>
</cp:coreProperties>
</file>